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vertmarkets-my.sharepoint.com/personal/teggert_vertmarkets_com/Documents/Desktop/Misc. Projects/Core Industry Metrics/2022/Q4/"/>
    </mc:Choice>
  </mc:AlternateContent>
  <xr:revisionPtr revIDLastSave="0" documentId="8_{8023A9FF-A4A7-46FE-A171-5AAFA1540B30}" xr6:coauthVersionLast="47" xr6:coauthVersionMax="47" xr10:uidLastSave="{00000000-0000-0000-0000-000000000000}"/>
  <bookViews>
    <workbookView xWindow="-28920" yWindow="-5040" windowWidth="29040" windowHeight="15840" xr2:uid="{00000000-000D-0000-FFFF-FFFF00000000}"/>
  </bookViews>
  <sheets>
    <sheet name="2022 - 4th Quarter" sheetId="46" r:id="rId1"/>
    <sheet name="2022 - 3rd Quarter" sheetId="44" r:id="rId2"/>
    <sheet name="2022 - 2nd Quarter" sheetId="43" r:id="rId3"/>
    <sheet name="Sheet2" sheetId="45" r:id="rId4"/>
    <sheet name="2022 - 1st Quarter" sheetId="42" r:id="rId5"/>
    <sheet name="2021 - 4th Quarter" sheetId="41" r:id="rId6"/>
    <sheet name="2021 - 3rd Quarter" sheetId="40" r:id="rId7"/>
    <sheet name="2021 - 2nd quarter" sheetId="39" r:id="rId8"/>
    <sheet name="2021 - 1st quarter" sheetId="37" r:id="rId9"/>
    <sheet name="2020 - 4th quarter" sheetId="38" r:id="rId10"/>
    <sheet name="2020 - 3rd quarter" sheetId="36" r:id="rId11"/>
    <sheet name="2020 - 2nd quarter" sheetId="35" r:id="rId12"/>
    <sheet name="2020 - 1st quarter" sheetId="34" r:id="rId13"/>
    <sheet name="2019 - 4th quarter" sheetId="33" r:id="rId14"/>
    <sheet name="2019 - 3rd quarter" sheetId="32" r:id="rId15"/>
    <sheet name="2019 - 2nd quarter" sheetId="31" r:id="rId16"/>
    <sheet name="2019 - 1st quarter" sheetId="30" r:id="rId17"/>
    <sheet name="2018 - 4th quarter" sheetId="29" r:id="rId18"/>
    <sheet name="2018 - 3rd quarter" sheetId="28" r:id="rId19"/>
    <sheet name="2018 - 2nd quarter" sheetId="27" r:id="rId20"/>
    <sheet name="2018 - 1st quarter " sheetId="26" r:id="rId21"/>
    <sheet name="2017 - 4th quarter " sheetId="25" r:id="rId22"/>
    <sheet name="2017 - 3rd quarter" sheetId="24" r:id="rId23"/>
    <sheet name="2017 - 2nd quarter" sheetId="23" r:id="rId24"/>
    <sheet name="2017 - 1st quarter" sheetId="22" r:id="rId25"/>
    <sheet name="2016 - 4th quarter" sheetId="21" r:id="rId26"/>
    <sheet name="2016 - 3rd quarter" sheetId="20" r:id="rId27"/>
    <sheet name="2016 - 2nd quarter" sheetId="19" r:id="rId28"/>
    <sheet name="2016 - 1st quarter " sheetId="18" r:id="rId29"/>
    <sheet name="2015 - 4th quarter  " sheetId="17" r:id="rId30"/>
    <sheet name="2015 - 3rd quarter " sheetId="16" r:id="rId31"/>
    <sheet name="2015 - 2nd quarter " sheetId="15" r:id="rId32"/>
    <sheet name="2015 - 1st quarter" sheetId="14" r:id="rId33"/>
    <sheet name="2014 - 4th quarter" sheetId="13" r:id="rId34"/>
    <sheet name="2014 - 3rd quarter" sheetId="12" r:id="rId35"/>
    <sheet name="2014 -2nd quarter" sheetId="11" r:id="rId36"/>
    <sheet name="2014 - 1st quarter" sheetId="10" r:id="rId37"/>
    <sheet name="2013 - 4th quarter" sheetId="9" r:id="rId38"/>
    <sheet name="2013 - 3rd quarter" sheetId="7" r:id="rId39"/>
    <sheet name="2013 - 2nd quarter" sheetId="6" r:id="rId40"/>
    <sheet name="2013 - 1st Q" sheetId="5" r:id="rId41"/>
    <sheet name="2012 - Year" sheetId="1" r:id="rId42"/>
    <sheet name="2012 - 4th Quarter" sheetId="8" r:id="rId43"/>
    <sheet name="2012 - 3rd Q" sheetId="4" r:id="rId44"/>
    <sheet name="2012 -2nd Q" sheetId="2" r:id="rId45"/>
    <sheet name="2012 - 1st Q" sheetId="3" r:id="rId46"/>
  </sheets>
  <definedNames>
    <definedName name="_xlnm.Print_Area" localSheetId="38">'2013 - 3rd quarter'!$A$1:$I$20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46" l="1"/>
  <c r="F3" i="46"/>
  <c r="F4" i="44"/>
  <c r="F3" i="44"/>
  <c r="F4" i="43"/>
  <c r="F3" i="43"/>
  <c r="F4" i="42"/>
  <c r="F3" i="42"/>
  <c r="F4" i="41"/>
  <c r="F3" i="41"/>
  <c r="F4" i="40"/>
  <c r="F3" i="40"/>
  <c r="G3" i="39"/>
  <c r="B3" i="39"/>
  <c r="G4" i="39"/>
  <c r="G3" i="38"/>
  <c r="G4" i="38"/>
  <c r="G4" i="37" l="1"/>
  <c r="G3" i="37"/>
  <c r="G4" i="36"/>
  <c r="G3" i="36"/>
  <c r="G4" i="35" l="1"/>
  <c r="G3" i="35"/>
  <c r="G4" i="34" l="1"/>
  <c r="G3" i="34"/>
  <c r="G4" i="33" l="1"/>
  <c r="G3" i="33"/>
  <c r="G4" i="32" l="1"/>
  <c r="G3" i="32"/>
  <c r="G4" i="31" l="1"/>
  <c r="G3" i="31"/>
  <c r="G4" i="30" l="1"/>
  <c r="G3" i="30"/>
  <c r="G4" i="29" l="1"/>
  <c r="G3" i="29"/>
  <c r="G4" i="28" l="1"/>
  <c r="G3" i="28"/>
  <c r="G4" i="27" l="1"/>
  <c r="G3" i="27"/>
  <c r="G3" i="26" l="1"/>
  <c r="G4" i="26" l="1"/>
  <c r="F7" i="25" l="1"/>
  <c r="D7" i="24" l="1"/>
  <c r="H19" i="25"/>
  <c r="G8" i="25"/>
  <c r="F8" i="25"/>
  <c r="E8" i="25"/>
  <c r="D8" i="25"/>
  <c r="C8" i="25"/>
  <c r="G7" i="25"/>
  <c r="E7" i="25"/>
  <c r="C7" i="25"/>
  <c r="G3" i="25"/>
  <c r="G14" i="25" s="1"/>
  <c r="G15" i="25" s="1"/>
  <c r="F3" i="25"/>
  <c r="E3" i="25"/>
  <c r="D3" i="25"/>
  <c r="C3" i="25"/>
  <c r="F7" i="24"/>
  <c r="E7" i="24"/>
  <c r="H19" i="24"/>
  <c r="G8" i="24"/>
  <c r="F8" i="24"/>
  <c r="E8" i="24"/>
  <c r="D8" i="24"/>
  <c r="C8" i="24"/>
  <c r="G7" i="24"/>
  <c r="C7" i="24"/>
  <c r="G3" i="24"/>
  <c r="F3" i="24"/>
  <c r="E3" i="24"/>
  <c r="D3" i="24"/>
  <c r="C3" i="24"/>
  <c r="C14" i="25" l="1"/>
  <c r="C15" i="25" s="1"/>
  <c r="D14" i="25"/>
  <c r="D15" i="25" s="1"/>
  <c r="E14" i="25"/>
  <c r="E15" i="25" s="1"/>
  <c r="F14" i="25"/>
  <c r="F15" i="25" s="1"/>
  <c r="H3" i="24"/>
  <c r="F14" i="24"/>
  <c r="F15" i="24" s="1"/>
  <c r="H3" i="25"/>
  <c r="E14" i="24"/>
  <c r="E15" i="24" s="1"/>
  <c r="C14" i="24"/>
  <c r="C15" i="24" s="1"/>
  <c r="G14" i="24"/>
  <c r="G15" i="24" s="1"/>
  <c r="D14" i="24"/>
  <c r="D15" i="24" s="1"/>
  <c r="C3" i="23"/>
  <c r="D8" i="23"/>
  <c r="C8" i="23"/>
  <c r="H19" i="23"/>
  <c r="G3" i="23"/>
  <c r="G8" i="23"/>
  <c r="F3" i="23"/>
  <c r="F8" i="23"/>
  <c r="E3" i="23"/>
  <c r="E8" i="23"/>
  <c r="D3" i="23"/>
  <c r="G7" i="23"/>
  <c r="F7" i="23"/>
  <c r="E7" i="23"/>
  <c r="C7" i="23"/>
  <c r="C3" i="22"/>
  <c r="D3" i="22"/>
  <c r="D7" i="22"/>
  <c r="D8" i="22"/>
  <c r="I19" i="22"/>
  <c r="H3" i="22"/>
  <c r="H8" i="22"/>
  <c r="G3" i="22"/>
  <c r="G8" i="22"/>
  <c r="F3" i="22"/>
  <c r="F8" i="22"/>
  <c r="E3" i="22"/>
  <c r="E8" i="22"/>
  <c r="C8" i="22"/>
  <c r="C14" i="22" s="1"/>
  <c r="C15" i="22" s="1"/>
  <c r="H7" i="22"/>
  <c r="G7" i="22"/>
  <c r="F7" i="22"/>
  <c r="E7" i="22"/>
  <c r="C7" i="22"/>
  <c r="C3" i="21"/>
  <c r="D8" i="21"/>
  <c r="I19" i="21"/>
  <c r="H3" i="21"/>
  <c r="H8" i="21"/>
  <c r="G3" i="21"/>
  <c r="G8" i="21"/>
  <c r="F3" i="21"/>
  <c r="F8" i="21"/>
  <c r="E3" i="21"/>
  <c r="E8" i="21"/>
  <c r="D3" i="21"/>
  <c r="C8" i="21"/>
  <c r="H7" i="21"/>
  <c r="G7" i="21"/>
  <c r="F7" i="21"/>
  <c r="E7" i="21"/>
  <c r="D7" i="21"/>
  <c r="C7" i="21"/>
  <c r="I19" i="20"/>
  <c r="C3" i="20"/>
  <c r="D3" i="20"/>
  <c r="E3" i="20"/>
  <c r="F3" i="20"/>
  <c r="G3" i="20"/>
  <c r="H3" i="20"/>
  <c r="H8" i="20"/>
  <c r="H7" i="20"/>
  <c r="E8" i="20"/>
  <c r="E7" i="20"/>
  <c r="C8" i="20"/>
  <c r="G8" i="20"/>
  <c r="F8" i="20"/>
  <c r="D8" i="20"/>
  <c r="G7" i="20"/>
  <c r="F7" i="20"/>
  <c r="D7" i="20"/>
  <c r="C7" i="20"/>
  <c r="H19" i="19"/>
  <c r="G3" i="19"/>
  <c r="G8" i="19"/>
  <c r="F3" i="19"/>
  <c r="F8" i="19"/>
  <c r="E3" i="19"/>
  <c r="E8" i="19"/>
  <c r="D3" i="19"/>
  <c r="D8" i="19"/>
  <c r="C3" i="19"/>
  <c r="C8" i="19"/>
  <c r="G7" i="19"/>
  <c r="F7" i="19"/>
  <c r="E7" i="19"/>
  <c r="D7" i="19"/>
  <c r="C7" i="19"/>
  <c r="G7" i="18"/>
  <c r="H19" i="18"/>
  <c r="G3" i="18"/>
  <c r="G8" i="18"/>
  <c r="F3" i="18"/>
  <c r="F8" i="18"/>
  <c r="E3" i="18"/>
  <c r="E8" i="18"/>
  <c r="D3" i="18"/>
  <c r="D8" i="18"/>
  <c r="C3" i="18"/>
  <c r="C8" i="18"/>
  <c r="F7" i="18"/>
  <c r="E7" i="18"/>
  <c r="D7" i="18"/>
  <c r="C7" i="18"/>
  <c r="C3" i="1"/>
  <c r="D4" i="1"/>
  <c r="K4" i="1" s="1"/>
  <c r="D5" i="1"/>
  <c r="K5" i="1" s="1"/>
  <c r="E3" i="1"/>
  <c r="E7" i="1" s="1"/>
  <c r="F3" i="1"/>
  <c r="F7" i="1" s="1"/>
  <c r="G3" i="1"/>
  <c r="J3" i="1"/>
  <c r="J14" i="1" s="1"/>
  <c r="K6" i="1"/>
  <c r="C8" i="1"/>
  <c r="D8" i="1"/>
  <c r="E8" i="1"/>
  <c r="F8" i="1"/>
  <c r="G8" i="1"/>
  <c r="H8" i="1"/>
  <c r="H14" i="1" s="1"/>
  <c r="H15" i="1" s="1"/>
  <c r="I13" i="1"/>
  <c r="I8" i="1" s="1"/>
  <c r="K9" i="1"/>
  <c r="K10" i="1"/>
  <c r="K11" i="1"/>
  <c r="K12" i="1"/>
  <c r="I15" i="1"/>
  <c r="K16" i="1"/>
  <c r="I17" i="1"/>
  <c r="K17" i="1" s="1"/>
  <c r="C18" i="1"/>
  <c r="K18" i="1" s="1"/>
  <c r="F19" i="1"/>
  <c r="K19" i="1" s="1"/>
  <c r="K20" i="1"/>
  <c r="H19" i="17"/>
  <c r="C3" i="17"/>
  <c r="D3" i="17"/>
  <c r="E3" i="17"/>
  <c r="F3" i="17"/>
  <c r="G3" i="17"/>
  <c r="F12" i="17"/>
  <c r="F8" i="17" s="1"/>
  <c r="F7" i="17"/>
  <c r="G12" i="17"/>
  <c r="G8" i="17" s="1"/>
  <c r="E7" i="17"/>
  <c r="E8" i="17"/>
  <c r="D8" i="17"/>
  <c r="C8" i="17"/>
  <c r="C7" i="17"/>
  <c r="D7" i="17"/>
  <c r="E4" i="16"/>
  <c r="E15" i="16" s="1"/>
  <c r="C7" i="16"/>
  <c r="D7" i="16"/>
  <c r="F7" i="16"/>
  <c r="G7" i="16"/>
  <c r="C8" i="16"/>
  <c r="D8" i="16"/>
  <c r="F8" i="16"/>
  <c r="G8" i="16"/>
  <c r="C3" i="16"/>
  <c r="C14" i="16" s="1"/>
  <c r="C15" i="16" s="1"/>
  <c r="D3" i="16"/>
  <c r="F3" i="16"/>
  <c r="G3" i="16"/>
  <c r="H19" i="16"/>
  <c r="J19" i="6"/>
  <c r="D3" i="6"/>
  <c r="E3" i="6"/>
  <c r="C3" i="5"/>
  <c r="D3" i="5"/>
  <c r="E3" i="5"/>
  <c r="F3" i="5"/>
  <c r="G3" i="5"/>
  <c r="L19" i="5"/>
  <c r="I19" i="9"/>
  <c r="C3" i="9"/>
  <c r="D3" i="9"/>
  <c r="E3" i="9"/>
  <c r="F3" i="9"/>
  <c r="D3" i="15"/>
  <c r="C3" i="15"/>
  <c r="E3" i="15"/>
  <c r="F3" i="15"/>
  <c r="G3" i="15"/>
  <c r="C7" i="15"/>
  <c r="D7" i="15"/>
  <c r="E7" i="15"/>
  <c r="F7" i="15"/>
  <c r="G7" i="15"/>
  <c r="C8" i="15"/>
  <c r="D8" i="15"/>
  <c r="E8" i="15"/>
  <c r="F8" i="15"/>
  <c r="G8" i="15"/>
  <c r="H19" i="15"/>
  <c r="H19" i="14"/>
  <c r="C3" i="14"/>
  <c r="D3" i="14"/>
  <c r="E3" i="14"/>
  <c r="F3" i="14"/>
  <c r="G3" i="14"/>
  <c r="G8" i="14"/>
  <c r="G14" i="14" s="1"/>
  <c r="G15" i="14" s="1"/>
  <c r="J21" i="13"/>
  <c r="F8" i="14"/>
  <c r="C13" i="14"/>
  <c r="C8" i="14" s="1"/>
  <c r="D7" i="14"/>
  <c r="E7" i="14"/>
  <c r="F7" i="14"/>
  <c r="G7" i="14"/>
  <c r="C7" i="14"/>
  <c r="D8" i="14"/>
  <c r="E8" i="14"/>
  <c r="C3" i="13"/>
  <c r="D3" i="13"/>
  <c r="E3" i="13"/>
  <c r="F3" i="13"/>
  <c r="G3" i="13"/>
  <c r="H3" i="13"/>
  <c r="I3" i="13"/>
  <c r="J19" i="13"/>
  <c r="C13" i="13"/>
  <c r="C8" i="13" s="1"/>
  <c r="C14" i="13" s="1"/>
  <c r="C15" i="13" s="1"/>
  <c r="F13" i="13"/>
  <c r="F8" i="13" s="1"/>
  <c r="I13" i="13"/>
  <c r="H13" i="13"/>
  <c r="H8" i="13" s="1"/>
  <c r="E13" i="13"/>
  <c r="E8" i="13" s="1"/>
  <c r="D13" i="13"/>
  <c r="D8" i="13" s="1"/>
  <c r="I8" i="13"/>
  <c r="D7" i="13"/>
  <c r="E7" i="13"/>
  <c r="F7" i="13"/>
  <c r="G7" i="13"/>
  <c r="H7" i="13"/>
  <c r="I7" i="13"/>
  <c r="C7" i="13"/>
  <c r="D3" i="12"/>
  <c r="H19" i="12"/>
  <c r="G13" i="12"/>
  <c r="G8" i="12" s="1"/>
  <c r="G14" i="12" s="1"/>
  <c r="G15" i="12" s="1"/>
  <c r="F13" i="12"/>
  <c r="E13" i="12"/>
  <c r="E8" i="12" s="1"/>
  <c r="D13" i="12"/>
  <c r="D8" i="12" s="1"/>
  <c r="C13" i="12"/>
  <c r="C8" i="12" s="1"/>
  <c r="F8" i="12"/>
  <c r="G7" i="12"/>
  <c r="F7" i="12"/>
  <c r="E7" i="12"/>
  <c r="D7" i="12"/>
  <c r="C7" i="12"/>
  <c r="F3" i="12"/>
  <c r="E3" i="12"/>
  <c r="E14" i="12" s="1"/>
  <c r="E15" i="12" s="1"/>
  <c r="C3" i="12"/>
  <c r="H19" i="11"/>
  <c r="C3" i="11"/>
  <c r="D3" i="11"/>
  <c r="E3" i="11"/>
  <c r="F3" i="11"/>
  <c r="G3" i="11"/>
  <c r="J19" i="7"/>
  <c r="C3" i="7"/>
  <c r="D3" i="7"/>
  <c r="E3" i="7"/>
  <c r="F3" i="7"/>
  <c r="F13" i="11"/>
  <c r="F8" i="11" s="1"/>
  <c r="F7" i="11"/>
  <c r="D13" i="11"/>
  <c r="G13" i="11"/>
  <c r="G9" i="11"/>
  <c r="E13" i="11"/>
  <c r="E8" i="11" s="1"/>
  <c r="C13" i="11"/>
  <c r="C8" i="11" s="1"/>
  <c r="C14" i="11" s="1"/>
  <c r="C15" i="11" s="1"/>
  <c r="D8" i="11"/>
  <c r="G7" i="11"/>
  <c r="E7" i="11"/>
  <c r="D7" i="11"/>
  <c r="C7" i="11"/>
  <c r="H19" i="10"/>
  <c r="G13" i="10"/>
  <c r="G9" i="10"/>
  <c r="G7" i="10"/>
  <c r="G3" i="10"/>
  <c r="F13" i="10"/>
  <c r="F8" i="10" s="1"/>
  <c r="F7" i="10"/>
  <c r="F3" i="10"/>
  <c r="E13" i="10"/>
  <c r="E8" i="10" s="1"/>
  <c r="E7" i="10"/>
  <c r="E3" i="10"/>
  <c r="D13" i="10"/>
  <c r="D8" i="10" s="1"/>
  <c r="D3" i="10"/>
  <c r="D7" i="10"/>
  <c r="C13" i="10"/>
  <c r="C8" i="10" s="1"/>
  <c r="C3" i="10"/>
  <c r="C14" i="10" s="1"/>
  <c r="C15" i="10" s="1"/>
  <c r="C7" i="10"/>
  <c r="E13" i="9"/>
  <c r="E8" i="9" s="1"/>
  <c r="E7" i="9"/>
  <c r="G14" i="9"/>
  <c r="H14" i="9"/>
  <c r="H15" i="9" s="1"/>
  <c r="G7" i="9"/>
  <c r="H7" i="9"/>
  <c r="F13" i="9"/>
  <c r="F8" i="9" s="1"/>
  <c r="F7" i="9"/>
  <c r="D13" i="9"/>
  <c r="D8" i="9" s="1"/>
  <c r="D7" i="9"/>
  <c r="C13" i="9"/>
  <c r="C8" i="9" s="1"/>
  <c r="C8" i="7"/>
  <c r="C7" i="9"/>
  <c r="H8" i="7"/>
  <c r="H14" i="7" s="1"/>
  <c r="H15" i="7" s="1"/>
  <c r="E3" i="8"/>
  <c r="E13" i="8"/>
  <c r="E8" i="8" s="1"/>
  <c r="F3" i="8"/>
  <c r="F13" i="8"/>
  <c r="F8" i="8" s="1"/>
  <c r="G3" i="8"/>
  <c r="G13" i="8"/>
  <c r="G8" i="8" s="1"/>
  <c r="H3" i="8"/>
  <c r="H8" i="8"/>
  <c r="I3" i="8"/>
  <c r="I14" i="8" s="1"/>
  <c r="I15" i="8" s="1"/>
  <c r="D3" i="8"/>
  <c r="D13" i="8"/>
  <c r="D8" i="8" s="1"/>
  <c r="F15" i="7"/>
  <c r="G15" i="7"/>
  <c r="G8" i="7"/>
  <c r="H13" i="7"/>
  <c r="E8" i="7"/>
  <c r="D8" i="7"/>
  <c r="C13" i="6"/>
  <c r="C8" i="6" s="1"/>
  <c r="C14" i="6" s="1"/>
  <c r="C15" i="6" s="1"/>
  <c r="D8" i="6"/>
  <c r="H13" i="6"/>
  <c r="H8" i="6" s="1"/>
  <c r="H14" i="6" s="1"/>
  <c r="H15" i="6" s="1"/>
  <c r="G8" i="6"/>
  <c r="G14" i="6" s="1"/>
  <c r="G15" i="6" s="1"/>
  <c r="F8" i="6"/>
  <c r="F14" i="6" s="1"/>
  <c r="F15" i="6" s="1"/>
  <c r="E8" i="6"/>
  <c r="E3" i="3"/>
  <c r="E8" i="3"/>
  <c r="E3" i="2"/>
  <c r="E18" i="2" s="1"/>
  <c r="E3" i="4"/>
  <c r="E8" i="4"/>
  <c r="E13" i="5"/>
  <c r="E8" i="5" s="1"/>
  <c r="D3" i="3"/>
  <c r="D13" i="3"/>
  <c r="D8" i="3" s="1"/>
  <c r="D13" i="5"/>
  <c r="D8" i="5" s="1"/>
  <c r="D3" i="4"/>
  <c r="D13" i="4"/>
  <c r="D8" i="4" s="1"/>
  <c r="D3" i="2"/>
  <c r="C18" i="3"/>
  <c r="C8" i="3"/>
  <c r="C3" i="3"/>
  <c r="C15" i="3"/>
  <c r="C18" i="2"/>
  <c r="C8" i="2"/>
  <c r="C3" i="2"/>
  <c r="H8" i="2"/>
  <c r="H14" i="2" s="1"/>
  <c r="H15" i="2" s="1"/>
  <c r="H3" i="3"/>
  <c r="H18" i="3" s="1"/>
  <c r="I18" i="4"/>
  <c r="I18" i="2"/>
  <c r="I14" i="2"/>
  <c r="I15" i="2" s="1"/>
  <c r="I18" i="3"/>
  <c r="I14" i="3"/>
  <c r="I15" i="3" s="1"/>
  <c r="G13" i="4"/>
  <c r="G8" i="4" s="1"/>
  <c r="G8" i="2"/>
  <c r="G13" i="3"/>
  <c r="G8" i="3" s="1"/>
  <c r="F3" i="4"/>
  <c r="F13" i="4"/>
  <c r="F8" i="4" s="1"/>
  <c r="F13" i="2"/>
  <c r="F8" i="2" s="1"/>
  <c r="F3" i="3"/>
  <c r="F13" i="3"/>
  <c r="F8" i="3" s="1"/>
  <c r="F14" i="3" s="1"/>
  <c r="F15" i="3" s="1"/>
  <c r="E8" i="2"/>
  <c r="I18" i="5"/>
  <c r="H18" i="5"/>
  <c r="G18" i="5"/>
  <c r="F18" i="5"/>
  <c r="E18" i="5"/>
  <c r="D18" i="5"/>
  <c r="C18" i="5"/>
  <c r="I13" i="5"/>
  <c r="I8" i="5" s="1"/>
  <c r="I14" i="5" s="1"/>
  <c r="I15" i="5" s="1"/>
  <c r="F13" i="5"/>
  <c r="F8" i="5" s="1"/>
  <c r="H8" i="5"/>
  <c r="H14" i="5" s="1"/>
  <c r="H15" i="5" s="1"/>
  <c r="G8" i="5"/>
  <c r="C8" i="5"/>
  <c r="H18" i="4"/>
  <c r="D18" i="4"/>
  <c r="C18" i="4"/>
  <c r="I15" i="4"/>
  <c r="H8" i="4"/>
  <c r="H14" i="4" s="1"/>
  <c r="H15" i="4" s="1"/>
  <c r="C8" i="4"/>
  <c r="G3" i="4"/>
  <c r="G18" i="4" s="1"/>
  <c r="C3" i="4"/>
  <c r="D18" i="3"/>
  <c r="H8" i="3"/>
  <c r="G3" i="3"/>
  <c r="G18" i="3" s="1"/>
  <c r="D18" i="2"/>
  <c r="D8" i="2"/>
  <c r="H18" i="2"/>
  <c r="G3" i="2"/>
  <c r="G18" i="2" s="1"/>
  <c r="F3" i="2"/>
  <c r="F18" i="2" s="1"/>
  <c r="H18" i="1"/>
  <c r="G18" i="1"/>
  <c r="D18" i="1"/>
  <c r="F8" i="7"/>
  <c r="G15" i="13"/>
  <c r="G8" i="13"/>
  <c r="C14" i="5" l="1"/>
  <c r="C15" i="5" s="1"/>
  <c r="K13" i="1"/>
  <c r="F14" i="20"/>
  <c r="F15" i="20" s="1"/>
  <c r="D14" i="9"/>
  <c r="D15" i="9" s="1"/>
  <c r="H14" i="8"/>
  <c r="H15" i="8" s="1"/>
  <c r="G8" i="10"/>
  <c r="G14" i="10" s="1"/>
  <c r="G15" i="10" s="1"/>
  <c r="G14" i="17"/>
  <c r="G15" i="17" s="1"/>
  <c r="D14" i="15"/>
  <c r="D15" i="15" s="1"/>
  <c r="C14" i="9"/>
  <c r="C15" i="9" s="1"/>
  <c r="E14" i="19"/>
  <c r="E15" i="19" s="1"/>
  <c r="C14" i="21"/>
  <c r="C15" i="21" s="1"/>
  <c r="E14" i="8"/>
  <c r="E15" i="8" s="1"/>
  <c r="E14" i="2"/>
  <c r="E15" i="2" s="1"/>
  <c r="G14" i="1"/>
  <c r="G15" i="1" s="1"/>
  <c r="F14" i="19"/>
  <c r="F15" i="19" s="1"/>
  <c r="E14" i="23"/>
  <c r="E15" i="23" s="1"/>
  <c r="D14" i="6"/>
  <c r="D15" i="6" s="1"/>
  <c r="C14" i="7"/>
  <c r="C15" i="7" s="1"/>
  <c r="G14" i="15"/>
  <c r="G15" i="15" s="1"/>
  <c r="E14" i="9"/>
  <c r="E15" i="9" s="1"/>
  <c r="D14" i="5"/>
  <c r="D15" i="5" s="1"/>
  <c r="F14" i="1"/>
  <c r="F15" i="1" s="1"/>
  <c r="C14" i="18"/>
  <c r="C15" i="18" s="1"/>
  <c r="E14" i="18"/>
  <c r="E15" i="18" s="1"/>
  <c r="G14" i="18"/>
  <c r="G15" i="18" s="1"/>
  <c r="D14" i="19"/>
  <c r="D15" i="19" s="1"/>
  <c r="G14" i="19"/>
  <c r="G15" i="19" s="1"/>
  <c r="G14" i="20"/>
  <c r="G15" i="20" s="1"/>
  <c r="F18" i="1"/>
  <c r="G14" i="3"/>
  <c r="G15" i="3" s="1"/>
  <c r="D14" i="2"/>
  <c r="D15" i="2" s="1"/>
  <c r="F14" i="5"/>
  <c r="F15" i="5" s="1"/>
  <c r="H3" i="10"/>
  <c r="E14" i="10"/>
  <c r="E15" i="10" s="1"/>
  <c r="D14" i="12"/>
  <c r="D15" i="12" s="1"/>
  <c r="H3" i="18"/>
  <c r="H3" i="23"/>
  <c r="F14" i="23"/>
  <c r="F15" i="23" s="1"/>
  <c r="J3" i="6"/>
  <c r="G14" i="23"/>
  <c r="G15" i="23" s="1"/>
  <c r="F14" i="14"/>
  <c r="F15" i="14" s="1"/>
  <c r="K8" i="1"/>
  <c r="H14" i="3"/>
  <c r="H15" i="3" s="1"/>
  <c r="G14" i="8"/>
  <c r="G15" i="8" s="1"/>
  <c r="C14" i="15"/>
  <c r="C15" i="15" s="1"/>
  <c r="G14" i="5"/>
  <c r="G15" i="5" s="1"/>
  <c r="I3" i="20"/>
  <c r="I3" i="22"/>
  <c r="F14" i="11"/>
  <c r="F15" i="11" s="1"/>
  <c r="D14" i="11"/>
  <c r="D15" i="11" s="1"/>
  <c r="C14" i="12"/>
  <c r="C15" i="12" s="1"/>
  <c r="F14" i="12"/>
  <c r="F15" i="12" s="1"/>
  <c r="E14" i="17"/>
  <c r="E15" i="17" s="1"/>
  <c r="F14" i="17"/>
  <c r="F15" i="17" s="1"/>
  <c r="C14" i="19"/>
  <c r="C15" i="19" s="1"/>
  <c r="D14" i="20"/>
  <c r="D15" i="20" s="1"/>
  <c r="C14" i="2"/>
  <c r="C15" i="2" s="1"/>
  <c r="D14" i="4"/>
  <c r="D15" i="4" s="1"/>
  <c r="D14" i="3"/>
  <c r="D15" i="3" s="1"/>
  <c r="F14" i="10"/>
  <c r="F15" i="10" s="1"/>
  <c r="H14" i="20"/>
  <c r="H15" i="20" s="1"/>
  <c r="E14" i="20"/>
  <c r="E15" i="20" s="1"/>
  <c r="D14" i="23"/>
  <c r="D15" i="23" s="1"/>
  <c r="E14" i="5"/>
  <c r="E15" i="5" s="1"/>
  <c r="D14" i="17"/>
  <c r="D15" i="17" s="1"/>
  <c r="D14" i="7"/>
  <c r="D15" i="7" s="1"/>
  <c r="D14" i="8"/>
  <c r="D15" i="8" s="1"/>
  <c r="I14" i="13"/>
  <c r="I15" i="13" s="1"/>
  <c r="D14" i="14"/>
  <c r="D15" i="14" s="1"/>
  <c r="H3" i="15"/>
  <c r="I3" i="9"/>
  <c r="D14" i="16"/>
  <c r="D15" i="16" s="1"/>
  <c r="F14" i="16"/>
  <c r="F15" i="16" s="1"/>
  <c r="H3" i="19"/>
  <c r="C14" i="20"/>
  <c r="C15" i="20" s="1"/>
  <c r="E14" i="21"/>
  <c r="E15" i="21" s="1"/>
  <c r="G14" i="21"/>
  <c r="G15" i="21" s="1"/>
  <c r="F14" i="22"/>
  <c r="F15" i="22" s="1"/>
  <c r="H14" i="22"/>
  <c r="H15" i="22" s="1"/>
  <c r="D3" i="1"/>
  <c r="I3" i="21"/>
  <c r="G14" i="2"/>
  <c r="G15" i="2" s="1"/>
  <c r="C14" i="4"/>
  <c r="C15" i="4" s="1"/>
  <c r="D14" i="10"/>
  <c r="D15" i="10" s="1"/>
  <c r="F14" i="13"/>
  <c r="F15" i="13" s="1"/>
  <c r="H14" i="13"/>
  <c r="H15" i="13" s="1"/>
  <c r="F14" i="15"/>
  <c r="F15" i="15" s="1"/>
  <c r="L3" i="5"/>
  <c r="E18" i="1"/>
  <c r="F14" i="2"/>
  <c r="F15" i="2" s="1"/>
  <c r="G8" i="11"/>
  <c r="G14" i="11" s="1"/>
  <c r="G15" i="11" s="1"/>
  <c r="H3" i="12"/>
  <c r="C14" i="14"/>
  <c r="C15" i="14" s="1"/>
  <c r="E14" i="14"/>
  <c r="E15" i="14" s="1"/>
  <c r="G14" i="16"/>
  <c r="G15" i="16" s="1"/>
  <c r="C14" i="17"/>
  <c r="C15" i="17" s="1"/>
  <c r="H3" i="17"/>
  <c r="E14" i="1"/>
  <c r="E15" i="1" s="1"/>
  <c r="C14" i="1"/>
  <c r="D14" i="18"/>
  <c r="D15" i="18" s="1"/>
  <c r="F14" i="18"/>
  <c r="F15" i="18" s="1"/>
  <c r="D14" i="21"/>
  <c r="D15" i="21" s="1"/>
  <c r="F14" i="21"/>
  <c r="F15" i="21" s="1"/>
  <c r="H14" i="21"/>
  <c r="H15" i="21" s="1"/>
  <c r="E14" i="22"/>
  <c r="E15" i="22" s="1"/>
  <c r="G14" i="22"/>
  <c r="G15" i="22" s="1"/>
  <c r="D14" i="22"/>
  <c r="D15" i="22" s="1"/>
  <c r="C14" i="23"/>
  <c r="C15" i="23" s="1"/>
  <c r="E14" i="11"/>
  <c r="E15" i="11" s="1"/>
  <c r="J3" i="13"/>
  <c r="G14" i="4"/>
  <c r="G15" i="4" s="1"/>
  <c r="E14" i="3"/>
  <c r="E15" i="3" s="1"/>
  <c r="E18" i="3"/>
  <c r="F14" i="8"/>
  <c r="F15" i="8" s="1"/>
  <c r="J3" i="7"/>
  <c r="E14" i="7"/>
  <c r="E15" i="7" s="1"/>
  <c r="H3" i="11"/>
  <c r="E14" i="4"/>
  <c r="E15" i="4" s="1"/>
  <c r="H3" i="14"/>
  <c r="E14" i="15"/>
  <c r="E15" i="15" s="1"/>
  <c r="H3" i="16"/>
  <c r="K3" i="1"/>
  <c r="D7" i="1"/>
  <c r="K7" i="1" s="1"/>
  <c r="D14" i="1"/>
  <c r="D15" i="1" s="1"/>
  <c r="E18" i="4"/>
  <c r="F14" i="4"/>
  <c r="F15" i="4" s="1"/>
  <c r="D14" i="13"/>
  <c r="D15" i="13" s="1"/>
  <c r="E14" i="13"/>
  <c r="E15" i="13" s="1"/>
  <c r="F14" i="9"/>
  <c r="F15" i="9" s="1"/>
  <c r="E14" i="6"/>
  <c r="E15" i="6" s="1"/>
  <c r="C15" i="1"/>
  <c r="K15" i="1" l="1"/>
  <c r="K14" i="1"/>
</calcChain>
</file>

<file path=xl/sharedStrings.xml><?xml version="1.0" encoding="utf-8"?>
<sst xmlns="http://schemas.openxmlformats.org/spreadsheetml/2006/main" count="983" uniqueCount="97">
  <si>
    <t>Quintiles</t>
  </si>
  <si>
    <t>Parexel</t>
  </si>
  <si>
    <t>Covance</t>
  </si>
  <si>
    <t>Bioclinica</t>
  </si>
  <si>
    <t>Wuxi</t>
  </si>
  <si>
    <t>Service Revenue</t>
  </si>
  <si>
    <t>Reimbursement Revenue</t>
  </si>
  <si>
    <t>Direct Costs</t>
  </si>
  <si>
    <t>Icon</t>
  </si>
  <si>
    <t>Charles River</t>
  </si>
  <si>
    <t>Other</t>
  </si>
  <si>
    <t>Total Expenses</t>
  </si>
  <si>
    <t>x3</t>
  </si>
  <si>
    <t>x4</t>
  </si>
  <si>
    <t>Total Gross Revenue</t>
  </si>
  <si>
    <t>Clinical Research</t>
  </si>
  <si>
    <t>As % of Service Rev</t>
  </si>
  <si>
    <t>Backlog</t>
  </si>
  <si>
    <t>Book To Bill</t>
  </si>
  <si>
    <t>Net Revenue</t>
  </si>
  <si>
    <t>Reimbursement Expenses</t>
  </si>
  <si>
    <t>?</t>
  </si>
  <si>
    <t>Not Included</t>
  </si>
  <si>
    <t>1.19-1.27</t>
  </si>
  <si>
    <t>Operating Income</t>
  </si>
  <si>
    <t>After Tax Income</t>
  </si>
  <si>
    <t>Net Income</t>
  </si>
  <si>
    <t>Direct Costs/Rev Costs</t>
  </si>
  <si>
    <t>Sub Categories</t>
  </si>
  <si>
    <t>Financial Variables</t>
  </si>
  <si>
    <t>After Tax/Net Income</t>
  </si>
  <si>
    <t>Separate PI fees</t>
  </si>
  <si>
    <t>Separate PI Fees</t>
  </si>
  <si>
    <t>PRA</t>
  </si>
  <si>
    <t>2012 Year End Results (in thousands)</t>
  </si>
  <si>
    <t>2012 1st Quarter Results Results (In Thousands)</t>
  </si>
  <si>
    <t>2012 2nd Quarter Results Results (In Thousands)</t>
  </si>
  <si>
    <t>2012 3rd Quarter Results Results (In Thousands)</t>
  </si>
  <si>
    <t>2013 First Quarter Results (In Thousands)</t>
  </si>
  <si>
    <t>Not included</t>
  </si>
  <si>
    <t>2013 Second Quarter Results (In Thousands)</t>
  </si>
  <si>
    <t>2013 Third Quarter Results (In Thousands)</t>
  </si>
  <si>
    <t>not included</t>
  </si>
  <si>
    <t>2012 4th Quarter Results Results (In Thousands)</t>
  </si>
  <si>
    <t>2013 Fourth Quarter Results (In Thousands)</t>
  </si>
  <si>
    <t>TOTAL</t>
  </si>
  <si>
    <t>2014 First Quarter Results (In Thousands)</t>
  </si>
  <si>
    <t>2014 Second Quarter Results (In Thousands)</t>
  </si>
  <si>
    <t>2014 3rd Quarter Results (In Thousands)</t>
  </si>
  <si>
    <t>INC</t>
  </si>
  <si>
    <t>2014  4 Quarter Results (In Thousands)</t>
  </si>
  <si>
    <t>2015  1 Quarter Results (In Thousands)</t>
  </si>
  <si>
    <t>1.2x</t>
  </si>
  <si>
    <t>2015  2 Quarter Results (In Thousands)</t>
  </si>
  <si>
    <t>Column1</t>
  </si>
  <si>
    <t>2015  3rd Quarter Results (In Thousands)</t>
  </si>
  <si>
    <t>2015  4th Quarter Results (In Thousands)</t>
  </si>
  <si>
    <t>2016  1st Quarter Results (In Thousands)</t>
  </si>
  <si>
    <t>2016  2nd Quarter Results (In Thousands)</t>
  </si>
  <si>
    <t>2016  3rd Quarter Results (In Thousands)</t>
  </si>
  <si>
    <t>Medpace</t>
  </si>
  <si>
    <t>2016  4th Quarter Results (In Thousands)</t>
  </si>
  <si>
    <t>*Quintiles total gross revenue has been adjusted to the proportion related to R&amp;D Solutions.</t>
  </si>
  <si>
    <t>2017 1st Quarter Results (In Thousands)</t>
  </si>
  <si>
    <t>2017 2nd Quarter Results (In Thousands)</t>
  </si>
  <si>
    <t>**PAREXEL has been removed from the data set due to a private acquisition</t>
  </si>
  <si>
    <t>2017 3rd Quarter Results (In Thousands)</t>
  </si>
  <si>
    <t>2017 4th Quarter Results (In Thousands)</t>
  </si>
  <si>
    <t>IQVIA (Quintiles)</t>
  </si>
  <si>
    <t>Syneos (INC + inVentiv)</t>
  </si>
  <si>
    <t>2018 1st Quarter Results (In Thousands)</t>
  </si>
  <si>
    <t>Sales/Revenue</t>
  </si>
  <si>
    <t>2018 2nd Quarter Results (In Thousands)</t>
  </si>
  <si>
    <t>2018 3rd Quarter Results (In Thousands)</t>
  </si>
  <si>
    <t>2018  4th Quarter Results (In Thousands)</t>
  </si>
  <si>
    <t>*Quintiles total gross revenue has been adjusted to the proportion related to R&amp;D Solutions. =0.647</t>
  </si>
  <si>
    <t>2019  1st Quarter Results (In Thousands)</t>
  </si>
  <si>
    <t>2019  2nd Quarter Results (In Thousands)</t>
  </si>
  <si>
    <t>2019  3rd Quarter Results (In Thousands)</t>
  </si>
  <si>
    <t>2019  4th Quarter Results (In Thousands)</t>
  </si>
  <si>
    <t>2020 1st Quarter Results (In Thousands)</t>
  </si>
  <si>
    <t>**Parexel has been removed from the data set due to a private acquisition</t>
  </si>
  <si>
    <t>2020 2nd Quarter Results (In Thousands)</t>
  </si>
  <si>
    <t>*IQVIA (Quintiles) total gross revenue has been adjusted to the proportion related to R&amp;D Solutions. =0.647</t>
  </si>
  <si>
    <t>2020 3rd Quarter Results (In Thousands)</t>
  </si>
  <si>
    <t>2020 4th Quarter Results (In Thousands)</t>
  </si>
  <si>
    <t>2021 2nd Quarter Results (In Thousands)</t>
  </si>
  <si>
    <t>2021 1st Quarter Results (In Thousands)</t>
  </si>
  <si>
    <t>PRA Health</t>
  </si>
  <si>
    <t>PRA and ICON merged in July 2021, data will be combined going forward (Q3 2021)</t>
  </si>
  <si>
    <t>PRA/ICON</t>
  </si>
  <si>
    <t>2021 3rd Quarter Results (In USD Thousands)</t>
  </si>
  <si>
    <t>2021 4th Quarter Results (In USD Thousands)</t>
  </si>
  <si>
    <t>2022 1st Quarter Results (In USD Thousands)</t>
  </si>
  <si>
    <t>2022 2nd Quarter Results (In USD Thousands)</t>
  </si>
  <si>
    <t>2022 3rd Quarter Results (In USD Thousands)</t>
  </si>
  <si>
    <t>2022 4th Quarter Results (In USD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</si>
</sst>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0.0%"/>
    <numFmt numFmtId="167" formatCode="&quot;$&quot;#,##0.00"/>
    <numFmt numFmtId="168" formatCode="_-&quot;$&quot;* #,##0_-;\-&quot;$&quot;* #,##0_-;_-&quot;$&quot;* &quot;-&quot;??_-;_-@_-"/>
    <numFmt numFmtId="169" formatCode="0.0"/>
    <numFmt numFmtId="170" formatCode="_(&quot;$&quot;* #,##0_);_(&quot;$&quot;* \(#,##0\);_(&quot;$&quot;* &quot;-&quot;??_);_(@_)"/>
    <numFmt numFmtId="171" formatCode="_(&quot;$&quot;* #,##0.00_);_(&quot;$&quot;* \(#,##0.00\);_(&quot;$&quot;* &quot;-&quot;_);_(@_)"/>
    <numFmt numFmtId="172" formatCode="_(&quot;$&quot;* #,##0.0_);_(&quot;$&quot;* \(#,##0.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</cellStyleXfs>
  <cellXfs count="192">
    <xf numFmtId="0" fontId="0" fillId="0" borderId="0" xfId="0"/>
    <xf numFmtId="0" fontId="1" fillId="0" borderId="0" xfId="0" applyFont="1"/>
    <xf numFmtId="42" fontId="0" fillId="0" borderId="0" xfId="0" applyNumberFormat="1"/>
    <xf numFmtId="0" fontId="7" fillId="0" borderId="0" xfId="0" applyFont="1"/>
    <xf numFmtId="0" fontId="1" fillId="0" borderId="1" xfId="0" applyFont="1" applyBorder="1"/>
    <xf numFmtId="42" fontId="1" fillId="0" borderId="1" xfId="1" applyNumberFormat="1" applyFont="1" applyBorder="1"/>
    <xf numFmtId="42" fontId="1" fillId="0" borderId="1" xfId="0" applyNumberFormat="1" applyFont="1" applyBorder="1"/>
    <xf numFmtId="42" fontId="7" fillId="0" borderId="0" xfId="1" applyNumberFormat="1" applyFont="1"/>
    <xf numFmtId="42" fontId="7" fillId="0" borderId="0" xfId="1" applyNumberFormat="1" applyFont="1" applyFill="1"/>
    <xf numFmtId="166" fontId="7" fillId="0" borderId="0" xfId="2" applyNumberFormat="1" applyFont="1"/>
    <xf numFmtId="42" fontId="4" fillId="0" borderId="1" xfId="1" applyNumberFormat="1" applyFont="1" applyFill="1" applyBorder="1"/>
    <xf numFmtId="42" fontId="8" fillId="0" borderId="0" xfId="1" applyNumberFormat="1" applyFont="1" applyFill="1"/>
    <xf numFmtId="42" fontId="4" fillId="0" borderId="1" xfId="2" applyNumberFormat="1" applyFont="1" applyFill="1" applyBorder="1"/>
    <xf numFmtId="42" fontId="4" fillId="0" borderId="1" xfId="0" applyNumberFormat="1" applyFont="1" applyBorder="1"/>
    <xf numFmtId="166" fontId="7" fillId="0" borderId="0" xfId="2" applyNumberFormat="1" applyFont="1" applyFill="1"/>
    <xf numFmtId="0" fontId="1" fillId="0" borderId="2" xfId="0" applyFont="1" applyBorder="1"/>
    <xf numFmtId="0" fontId="4" fillId="0" borderId="2" xfId="0" applyFont="1" applyBorder="1"/>
    <xf numFmtId="166" fontId="9" fillId="0" borderId="1" xfId="1" applyNumberFormat="1" applyFont="1" applyBorder="1"/>
    <xf numFmtId="166" fontId="1" fillId="0" borderId="1" xfId="0" applyNumberFormat="1" applyFont="1" applyBorder="1"/>
    <xf numFmtId="42" fontId="1" fillId="0" borderId="2" xfId="1" applyNumberFormat="1" applyFont="1" applyBorder="1"/>
    <xf numFmtId="42" fontId="1" fillId="0" borderId="2" xfId="0" applyNumberFormat="1" applyFont="1" applyBorder="1"/>
    <xf numFmtId="0" fontId="11" fillId="0" borderId="0" xfId="3" applyFont="1" applyBorder="1" applyAlignment="1">
      <alignment wrapText="1"/>
    </xf>
    <xf numFmtId="42" fontId="5" fillId="0" borderId="2" xfId="0" applyNumberFormat="1" applyFont="1" applyBorder="1"/>
    <xf numFmtId="0" fontId="1" fillId="2" borderId="0" xfId="0" applyFont="1" applyFill="1"/>
    <xf numFmtId="0" fontId="12" fillId="2" borderId="0" xfId="0" applyFont="1" applyFill="1"/>
    <xf numFmtId="43" fontId="0" fillId="0" borderId="0" xfId="0" applyNumberFormat="1"/>
    <xf numFmtId="42" fontId="1" fillId="0" borderId="0" xfId="1" applyNumberFormat="1" applyFont="1" applyFill="1" applyBorder="1"/>
    <xf numFmtId="0" fontId="12" fillId="0" borderId="0" xfId="0" applyFont="1"/>
    <xf numFmtId="167" fontId="0" fillId="0" borderId="0" xfId="0" applyNumberFormat="1"/>
    <xf numFmtId="0" fontId="0" fillId="0" borderId="1" xfId="0" applyBorder="1"/>
    <xf numFmtId="42" fontId="0" fillId="0" borderId="1" xfId="0" applyNumberFormat="1" applyBorder="1"/>
    <xf numFmtId="166" fontId="6" fillId="0" borderId="0" xfId="2" applyNumberFormat="1" applyFont="1" applyFill="1"/>
    <xf numFmtId="0" fontId="14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2" xfId="0" applyBorder="1"/>
    <xf numFmtId="42" fontId="2" fillId="0" borderId="1" xfId="1" applyNumberFormat="1" applyFont="1" applyFill="1" applyBorder="1"/>
    <xf numFmtId="42" fontId="0" fillId="0" borderId="3" xfId="0" applyNumberFormat="1" applyBorder="1"/>
    <xf numFmtId="42" fontId="6" fillId="0" borderId="0" xfId="1" applyNumberFormat="1" applyFont="1" applyFill="1"/>
    <xf numFmtId="42" fontId="8" fillId="0" borderId="0" xfId="0" applyNumberFormat="1" applyFont="1"/>
    <xf numFmtId="42" fontId="6" fillId="0" borderId="0" xfId="0" applyNumberFormat="1" applyFont="1"/>
    <xf numFmtId="166" fontId="2" fillId="0" borderId="1" xfId="1" applyNumberFormat="1" applyFont="1" applyFill="1" applyBorder="1"/>
    <xf numFmtId="42" fontId="2" fillId="0" borderId="1" xfId="2" applyNumberFormat="1" applyFont="1" applyFill="1" applyBorder="1"/>
    <xf numFmtId="9" fontId="2" fillId="0" borderId="1" xfId="2" applyFont="1" applyFill="1" applyBorder="1"/>
    <xf numFmtId="166" fontId="2" fillId="0" borderId="0" xfId="2" applyNumberFormat="1" applyFont="1" applyFill="1"/>
    <xf numFmtId="9" fontId="2" fillId="0" borderId="0" xfId="2" applyFont="1"/>
    <xf numFmtId="167" fontId="2" fillId="0" borderId="0" xfId="2" applyNumberFormat="1" applyFont="1"/>
    <xf numFmtId="42" fontId="2" fillId="0" borderId="2" xfId="2" applyNumberFormat="1" applyFont="1" applyFill="1" applyBorder="1"/>
    <xf numFmtId="166" fontId="2" fillId="0" borderId="0" xfId="2" applyNumberFormat="1" applyFont="1"/>
    <xf numFmtId="0" fontId="7" fillId="0" borderId="1" xfId="0" applyFont="1" applyBorder="1"/>
    <xf numFmtId="166" fontId="1" fillId="0" borderId="0" xfId="0" applyNumberFormat="1" applyFont="1"/>
    <xf numFmtId="166" fontId="1" fillId="0" borderId="0" xfId="2" applyNumberFormat="1" applyFont="1" applyFill="1"/>
    <xf numFmtId="166" fontId="1" fillId="0" borderId="0" xfId="2" applyNumberFormat="1" applyFont="1"/>
    <xf numFmtId="0" fontId="13" fillId="0" borderId="0" xfId="0" applyFont="1"/>
    <xf numFmtId="0" fontId="1" fillId="3" borderId="1" xfId="0" applyFont="1" applyFill="1" applyBorder="1"/>
    <xf numFmtId="42" fontId="4" fillId="3" borderId="1" xfId="1" applyNumberFormat="1" applyFont="1" applyFill="1" applyBorder="1"/>
    <xf numFmtId="42" fontId="4" fillId="3" borderId="1" xfId="0" applyNumberFormat="1" applyFont="1" applyFill="1" applyBorder="1"/>
    <xf numFmtId="42" fontId="8" fillId="3" borderId="0" xfId="1" applyNumberFormat="1" applyFont="1" applyFill="1"/>
    <xf numFmtId="42" fontId="4" fillId="3" borderId="1" xfId="2" applyNumberFormat="1" applyFont="1" applyFill="1" applyBorder="1"/>
    <xf numFmtId="166" fontId="6" fillId="3" borderId="0" xfId="2" applyNumberFormat="1" applyFont="1" applyFill="1"/>
    <xf numFmtId="166" fontId="7" fillId="3" borderId="0" xfId="2" applyNumberFormat="1" applyFont="1" applyFill="1"/>
    <xf numFmtId="0" fontId="1" fillId="3" borderId="2" xfId="0" applyFont="1" applyFill="1" applyBorder="1"/>
    <xf numFmtId="0" fontId="4" fillId="3" borderId="2" xfId="0" applyFont="1" applyFill="1" applyBorder="1"/>
    <xf numFmtId="166" fontId="1" fillId="3" borderId="1" xfId="0" applyNumberFormat="1" applyFont="1" applyFill="1" applyBorder="1"/>
    <xf numFmtId="0" fontId="0" fillId="3" borderId="2" xfId="0" applyFill="1" applyBorder="1"/>
    <xf numFmtId="0" fontId="1" fillId="3" borderId="0" xfId="0" applyFont="1" applyFill="1"/>
    <xf numFmtId="0" fontId="7" fillId="3" borderId="0" xfId="0" applyFont="1" applyFill="1"/>
    <xf numFmtId="0" fontId="7" fillId="3" borderId="1" xfId="0" applyFont="1" applyFill="1" applyBorder="1"/>
    <xf numFmtId="166" fontId="1" fillId="3" borderId="0" xfId="2" applyNumberFormat="1" applyFont="1" applyFill="1"/>
    <xf numFmtId="42" fontId="2" fillId="3" borderId="1" xfId="1" applyNumberFormat="1" applyFont="1" applyFill="1" applyBorder="1"/>
    <xf numFmtId="42" fontId="0" fillId="3" borderId="1" xfId="0" applyNumberFormat="1" applyFill="1" applyBorder="1"/>
    <xf numFmtId="42" fontId="6" fillId="3" borderId="0" xfId="1" applyNumberFormat="1" applyFont="1" applyFill="1"/>
    <xf numFmtId="42" fontId="8" fillId="3" borderId="0" xfId="0" applyNumberFormat="1" applyFont="1" applyFill="1"/>
    <xf numFmtId="42" fontId="6" fillId="3" borderId="0" xfId="0" applyNumberFormat="1" applyFont="1" applyFill="1"/>
    <xf numFmtId="166" fontId="2" fillId="3" borderId="1" xfId="1" applyNumberFormat="1" applyFont="1" applyFill="1" applyBorder="1"/>
    <xf numFmtId="42" fontId="2" fillId="3" borderId="1" xfId="2" applyNumberFormat="1" applyFont="1" applyFill="1" applyBorder="1"/>
    <xf numFmtId="9" fontId="2" fillId="3" borderId="1" xfId="2" applyFont="1" applyFill="1" applyBorder="1"/>
    <xf numFmtId="42" fontId="2" fillId="0" borderId="1" xfId="1" applyNumberFormat="1" applyFont="1" applyBorder="1"/>
    <xf numFmtId="42" fontId="2" fillId="0" borderId="1" xfId="2" applyNumberFormat="1" applyFont="1" applyBorder="1"/>
    <xf numFmtId="42" fontId="2" fillId="0" borderId="0" xfId="1" applyNumberFormat="1" applyFont="1" applyFill="1"/>
    <xf numFmtId="42" fontId="4" fillId="0" borderId="0" xfId="1" applyNumberFormat="1" applyFont="1" applyFill="1"/>
    <xf numFmtId="42" fontId="2" fillId="0" borderId="0" xfId="2" applyNumberFormat="1" applyFont="1" applyFill="1"/>
    <xf numFmtId="42" fontId="2" fillId="0" borderId="0" xfId="1" applyNumberFormat="1" applyFont="1"/>
    <xf numFmtId="42" fontId="0" fillId="0" borderId="1" xfId="0" applyNumberFormat="1" applyBorder="1" applyAlignment="1">
      <alignment horizontal="left"/>
    </xf>
    <xf numFmtId="0" fontId="10" fillId="0" borderId="0" xfId="3" applyBorder="1" applyAlignment="1">
      <alignment wrapText="1"/>
    </xf>
    <xf numFmtId="42" fontId="0" fillId="0" borderId="2" xfId="0" applyNumberFormat="1" applyBorder="1"/>
    <xf numFmtId="42" fontId="4" fillId="0" borderId="2" xfId="0" applyNumberFormat="1" applyFont="1" applyBorder="1"/>
    <xf numFmtId="0" fontId="3" fillId="0" borderId="0" xfId="0" applyFont="1"/>
    <xf numFmtId="42" fontId="2" fillId="0" borderId="2" xfId="1" applyNumberFormat="1" applyFont="1" applyFill="1" applyBorder="1"/>
    <xf numFmtId="0" fontId="10" fillId="0" borderId="0" xfId="3" applyFill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5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42" fontId="2" fillId="0" borderId="4" xfId="1" applyNumberFormat="1" applyFont="1" applyFill="1" applyBorder="1"/>
    <xf numFmtId="42" fontId="4" fillId="0" borderId="4" xfId="1" applyNumberFormat="1" applyFont="1" applyFill="1" applyBorder="1"/>
    <xf numFmtId="42" fontId="0" fillId="0" borderId="9" xfId="0" applyNumberFormat="1" applyBorder="1"/>
    <xf numFmtId="0" fontId="7" fillId="0" borderId="4" xfId="0" applyFont="1" applyBorder="1"/>
    <xf numFmtId="42" fontId="6" fillId="0" borderId="4" xfId="1" applyNumberFormat="1" applyFont="1" applyFill="1" applyBorder="1"/>
    <xf numFmtId="42" fontId="8" fillId="0" borderId="4" xfId="0" applyNumberFormat="1" applyFont="1" applyBorder="1"/>
    <xf numFmtId="42" fontId="6" fillId="0" borderId="9" xfId="0" applyNumberFormat="1" applyFont="1" applyBorder="1"/>
    <xf numFmtId="42" fontId="6" fillId="0" borderId="4" xfId="0" applyNumberFormat="1" applyFont="1" applyBorder="1"/>
    <xf numFmtId="42" fontId="4" fillId="0" borderId="4" xfId="0" applyNumberFormat="1" applyFont="1" applyBorder="1"/>
    <xf numFmtId="42" fontId="0" fillId="0" borderId="4" xfId="0" applyNumberFormat="1" applyBorder="1"/>
    <xf numFmtId="42" fontId="2" fillId="0" borderId="9" xfId="1" applyNumberFormat="1" applyFont="1" applyFill="1" applyBorder="1"/>
    <xf numFmtId="42" fontId="8" fillId="0" borderId="4" xfId="1" applyNumberFormat="1" applyFont="1" applyFill="1" applyBorder="1"/>
    <xf numFmtId="166" fontId="1" fillId="0" borderId="8" xfId="0" applyNumberFormat="1" applyFont="1" applyBorder="1"/>
    <xf numFmtId="166" fontId="1" fillId="0" borderId="4" xfId="0" applyNumberFormat="1" applyFont="1" applyBorder="1"/>
    <xf numFmtId="166" fontId="2" fillId="0" borderId="4" xfId="1" applyNumberFormat="1" applyFont="1" applyFill="1" applyBorder="1"/>
    <xf numFmtId="166" fontId="2" fillId="0" borderId="9" xfId="1" applyNumberFormat="1" applyFont="1" applyFill="1" applyBorder="1"/>
    <xf numFmtId="42" fontId="2" fillId="0" borderId="4" xfId="2" applyNumberFormat="1" applyFont="1" applyFill="1" applyBorder="1"/>
    <xf numFmtId="9" fontId="2" fillId="0" borderId="4" xfId="2" applyFont="1" applyFill="1" applyBorder="1"/>
    <xf numFmtId="42" fontId="4" fillId="0" borderId="4" xfId="2" applyNumberFormat="1" applyFont="1" applyFill="1" applyBorder="1"/>
    <xf numFmtId="42" fontId="2" fillId="0" borderId="9" xfId="2" applyNumberFormat="1" applyFont="1" applyFill="1" applyBorder="1"/>
    <xf numFmtId="166" fontId="1" fillId="0" borderId="8" xfId="2" applyNumberFormat="1" applyFont="1" applyFill="1" applyBorder="1"/>
    <xf numFmtId="166" fontId="7" fillId="0" borderId="4" xfId="2" applyNumberFormat="1" applyFont="1" applyFill="1" applyBorder="1"/>
    <xf numFmtId="166" fontId="6" fillId="0" borderId="4" xfId="2" applyNumberFormat="1" applyFont="1" applyFill="1" applyBorder="1"/>
    <xf numFmtId="166" fontId="6" fillId="0" borderId="9" xfId="2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42" fontId="15" fillId="0" borderId="1" xfId="0" applyNumberFormat="1" applyFont="1" applyBorder="1"/>
    <xf numFmtId="42" fontId="15" fillId="0" borderId="2" xfId="0" applyNumberFormat="1" applyFont="1" applyBorder="1"/>
    <xf numFmtId="3" fontId="1" fillId="0" borderId="0" xfId="0" applyNumberFormat="1" applyFont="1"/>
    <xf numFmtId="167" fontId="1" fillId="0" borderId="0" xfId="0" applyNumberFormat="1" applyFont="1"/>
    <xf numFmtId="42" fontId="1" fillId="0" borderId="0" xfId="0" applyNumberFormat="1" applyFont="1"/>
    <xf numFmtId="42" fontId="2" fillId="0" borderId="0" xfId="1" applyNumberFormat="1" applyFont="1" applyFill="1" applyBorder="1"/>
    <xf numFmtId="42" fontId="15" fillId="0" borderId="0" xfId="0" applyNumberFormat="1" applyFont="1"/>
    <xf numFmtId="42" fontId="2" fillId="0" borderId="0" xfId="2" applyNumberFormat="1" applyFont="1" applyFill="1" applyBorder="1"/>
    <xf numFmtId="42" fontId="16" fillId="0" borderId="1" xfId="1" applyNumberFormat="1" applyFont="1" applyFill="1" applyBorder="1"/>
    <xf numFmtId="42" fontId="16" fillId="0" borderId="0" xfId="1" applyNumberFormat="1" applyFont="1" applyFill="1"/>
    <xf numFmtId="42" fontId="16" fillId="0" borderId="0" xfId="0" applyNumberFormat="1" applyFont="1"/>
    <xf numFmtId="42" fontId="17" fillId="0" borderId="0" xfId="0" applyNumberFormat="1" applyFont="1"/>
    <xf numFmtId="42" fontId="16" fillId="0" borderId="1" xfId="0" applyNumberFormat="1" applyFont="1" applyBorder="1"/>
    <xf numFmtId="42" fontId="16" fillId="0" borderId="0" xfId="1" applyNumberFormat="1" applyFont="1"/>
    <xf numFmtId="166" fontId="16" fillId="0" borderId="1" xfId="1" applyNumberFormat="1" applyFont="1" applyFill="1" applyBorder="1"/>
    <xf numFmtId="167" fontId="17" fillId="0" borderId="0" xfId="0" applyNumberFormat="1" applyFont="1"/>
    <xf numFmtId="0" fontId="16" fillId="0" borderId="1" xfId="0" applyFont="1" applyBorder="1"/>
    <xf numFmtId="42" fontId="16" fillId="0" borderId="1" xfId="2" applyNumberFormat="1" applyFont="1" applyBorder="1"/>
    <xf numFmtId="42" fontId="16" fillId="0" borderId="0" xfId="2" applyNumberFormat="1" applyFont="1" applyFill="1" applyBorder="1"/>
    <xf numFmtId="166" fontId="16" fillId="0" borderId="0" xfId="2" applyNumberFormat="1" applyFont="1"/>
    <xf numFmtId="166" fontId="16" fillId="0" borderId="0" xfId="2" applyNumberFormat="1" applyFont="1" applyFill="1"/>
    <xf numFmtId="42" fontId="4" fillId="0" borderId="0" xfId="0" applyNumberFormat="1" applyFont="1"/>
    <xf numFmtId="166" fontId="4" fillId="0" borderId="1" xfId="1" applyNumberFormat="1" applyFont="1" applyFill="1" applyBorder="1"/>
    <xf numFmtId="42" fontId="4" fillId="0" borderId="1" xfId="1" applyNumberFormat="1" applyFont="1" applyBorder="1"/>
    <xf numFmtId="165" fontId="4" fillId="0" borderId="0" xfId="0" applyNumberFormat="1" applyFont="1"/>
    <xf numFmtId="168" fontId="4" fillId="0" borderId="0" xfId="0" applyNumberFormat="1" applyFont="1"/>
    <xf numFmtId="2" fontId="0" fillId="0" borderId="0" xfId="0" applyNumberFormat="1"/>
    <xf numFmtId="42" fontId="4" fillId="0" borderId="0" xfId="1" applyNumberFormat="1" applyFont="1" applyFill="1" applyBorder="1"/>
    <xf numFmtId="42" fontId="4" fillId="0" borderId="0" xfId="2" applyNumberFormat="1" applyFont="1" applyFill="1" applyBorder="1"/>
    <xf numFmtId="166" fontId="4" fillId="0" borderId="0" xfId="2" applyNumberFormat="1" applyFont="1" applyFill="1"/>
    <xf numFmtId="42" fontId="4" fillId="0" borderId="0" xfId="1" applyNumberFormat="1" applyFont="1"/>
    <xf numFmtId="167" fontId="5" fillId="0" borderId="0" xfId="0" applyNumberFormat="1" applyFont="1"/>
    <xf numFmtId="42" fontId="1" fillId="0" borderId="3" xfId="0" applyNumberFormat="1" applyFont="1" applyBorder="1"/>
    <xf numFmtId="42" fontId="2" fillId="0" borderId="0" xfId="0" applyNumberFormat="1" applyFont="1"/>
    <xf numFmtId="164" fontId="0" fillId="0" borderId="1" xfId="0" applyNumberFormat="1" applyBorder="1"/>
    <xf numFmtId="164" fontId="0" fillId="0" borderId="1" xfId="2" applyNumberFormat="1" applyFont="1" applyFill="1" applyBorder="1"/>
    <xf numFmtId="164" fontId="0" fillId="0" borderId="3" xfId="0" applyNumberFormat="1" applyBorder="1"/>
    <xf numFmtId="164" fontId="0" fillId="0" borderId="2" xfId="2" applyNumberFormat="1" applyFont="1" applyFill="1" applyBorder="1"/>
    <xf numFmtId="42" fontId="0" fillId="0" borderId="1" xfId="1" applyNumberFormat="1" applyFont="1" applyFill="1" applyBorder="1"/>
    <xf numFmtId="169" fontId="0" fillId="0" borderId="2" xfId="0" applyNumberFormat="1" applyBorder="1"/>
    <xf numFmtId="44" fontId="0" fillId="0" borderId="0" xfId="0" applyNumberFormat="1"/>
    <xf numFmtId="42" fontId="0" fillId="0" borderId="1" xfId="1" applyNumberFormat="1" applyFont="1" applyBorder="1"/>
    <xf numFmtId="3" fontId="2" fillId="0" borderId="0" xfId="0" applyNumberFormat="1" applyFont="1"/>
    <xf numFmtId="42" fontId="2" fillId="0" borderId="1" xfId="0" applyNumberFormat="1" applyFont="1" applyBorder="1"/>
    <xf numFmtId="165" fontId="2" fillId="0" borderId="0" xfId="0" applyNumberFormat="1" applyFont="1"/>
    <xf numFmtId="0" fontId="2" fillId="0" borderId="0" xfId="0" applyFont="1"/>
    <xf numFmtId="166" fontId="2" fillId="0" borderId="0" xfId="0" applyNumberFormat="1" applyFont="1"/>
    <xf numFmtId="42" fontId="0" fillId="0" borderId="1" xfId="2" applyNumberFormat="1" applyFont="1" applyBorder="1"/>
    <xf numFmtId="42" fontId="0" fillId="0" borderId="0" xfId="2" applyNumberFormat="1" applyFont="1" applyFill="1" applyBorder="1"/>
    <xf numFmtId="166" fontId="0" fillId="0" borderId="0" xfId="2" applyNumberFormat="1" applyFont="1"/>
    <xf numFmtId="166" fontId="0" fillId="0" borderId="0" xfId="2" applyNumberFormat="1" applyFont="1" applyFill="1"/>
    <xf numFmtId="0" fontId="2" fillId="0" borderId="2" xfId="0" applyFont="1" applyBorder="1"/>
    <xf numFmtId="44" fontId="2" fillId="0" borderId="0" xfId="0" applyNumberFormat="1" applyFont="1"/>
    <xf numFmtId="44" fontId="2" fillId="0" borderId="1" xfId="1" applyFont="1" applyFill="1" applyBorder="1"/>
    <xf numFmtId="170" fontId="2" fillId="0" borderId="0" xfId="0" applyNumberFormat="1" applyFont="1"/>
    <xf numFmtId="171" fontId="0" fillId="0" borderId="1" xfId="0" applyNumberFormat="1" applyBorder="1"/>
    <xf numFmtId="2" fontId="0" fillId="0" borderId="2" xfId="0" applyNumberFormat="1" applyBorder="1"/>
    <xf numFmtId="3" fontId="4" fillId="0" borderId="0" xfId="0" applyNumberFormat="1" applyFont="1"/>
    <xf numFmtId="0" fontId="4" fillId="0" borderId="0" xfId="0" applyFont="1"/>
    <xf numFmtId="170" fontId="4" fillId="0" borderId="0" xfId="0" applyNumberFormat="1" applyFont="1"/>
    <xf numFmtId="2" fontId="4" fillId="0" borderId="2" xfId="0" applyNumberFormat="1" applyFont="1" applyBorder="1"/>
    <xf numFmtId="2" fontId="4" fillId="0" borderId="0" xfId="0" applyNumberFormat="1" applyFont="1"/>
    <xf numFmtId="0" fontId="16" fillId="0" borderId="0" xfId="0" applyFont="1"/>
    <xf numFmtId="4" fontId="4" fillId="0" borderId="0" xfId="0" applyNumberFormat="1" applyFont="1"/>
    <xf numFmtId="39" fontId="16" fillId="0" borderId="0" xfId="0" applyNumberFormat="1" applyFont="1"/>
    <xf numFmtId="172" fontId="0" fillId="0" borderId="0" xfId="0" applyNumberFormat="1"/>
    <xf numFmtId="3" fontId="19" fillId="0" borderId="0" xfId="0" applyNumberFormat="1" applyFont="1"/>
  </cellXfs>
  <cellStyles count="5">
    <cellStyle name="Currency" xfId="1" builtinId="4"/>
    <cellStyle name="Hyperlink" xfId="3" builtinId="8"/>
    <cellStyle name="Normal" xfId="0" builtinId="0"/>
    <cellStyle name="Normal 2" xfId="4" xr:uid="{FB5DB047-2728-BE44-B093-9E4958664142}"/>
    <cellStyle name="Percent" xfId="2" builtinId="5"/>
  </cellStyles>
  <dxfs count="44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7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DB08999-B858-417F-AB2C-B55362E57859}" name="TableQ420193536373840414243444546" displayName="TableQ420193536373840414243444546" ref="A2:F5" totalsRowShown="0" dataDxfId="7" tableBorderDxfId="6">
  <autoFilter ref="A2:F5" xr:uid="{00000000-0009-0000-0100-000017000000}"/>
  <tableColumns count="6">
    <tableColumn id="1" xr3:uid="{80012708-FC07-4632-A2B5-37CFF2D3C596}" name="Financial Variables" dataDxfId="5"/>
    <tableColumn id="3" xr3:uid="{59F4A371-437C-46A8-BF01-13232A7B30F2}" name="IQVIA (Quintiles)" dataDxfId="4">
      <calculatedColumnFormula>0.647*3438000</calculatedColumnFormula>
    </tableColumn>
    <tableColumn id="6" xr3:uid="{3E33C2B5-4148-4EAA-9171-FFC54748D2AB}" name="PRA/ICON" dataDxfId="3"/>
    <tableColumn id="8" xr3:uid="{276A393A-F150-40FB-920D-C533D8463840}" name="Syneos (INC + inVentiv)" dataDxfId="2"/>
    <tableColumn id="5" xr3:uid="{0C94C7CB-4DD3-42F9-AE14-943872CA0150}" name="Medpace" dataDxfId="1"/>
    <tableColumn id="7" xr3:uid="{762BB382-46B2-4894-ACA8-C89633803A6A}" name="TOTAL" dataDxfId="0">
      <calculatedColumnFormula>SUM(TableQ420193536373840414243444546[[#This Row],[IQVIA (Quintiles)]:[Medpace]])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63BEF88-E57B-44C1-8A84-6E3880D44499}" name="TableQ42019353637" displayName="TableQ42019353637" ref="A2:G5" totalsRowShown="0" dataDxfId="379" tableBorderDxfId="378">
  <autoFilter ref="A2:G5" xr:uid="{00000000-0009-0000-0100-000017000000}"/>
  <tableColumns count="7">
    <tableColumn id="1" xr3:uid="{DDFC46A6-8EF0-4B93-8DCF-0A95B8486B46}" name="Financial Variables" dataDxfId="377"/>
    <tableColumn id="3" xr3:uid="{DEC4C610-47CA-4C3A-B014-34220DA81212}" name="IQVIA (Quintiles)" dataDxfId="376"/>
    <tableColumn id="6" xr3:uid="{9AA8EF20-65F5-4330-8BB9-7549C194C97C}" name="Icon" dataDxfId="375"/>
    <tableColumn id="10" xr3:uid="{079F8258-651B-4A79-880E-6E57098B6B71}" name="PRA" dataDxfId="374"/>
    <tableColumn id="8" xr3:uid="{BD5BBA1C-DA3B-4986-B3E1-B488534A376E}" name="Syneos (INC + inVentiv)" dataDxfId="373"/>
    <tableColumn id="5" xr3:uid="{DB24CC01-2954-4EEE-8EA8-39B0D98FE717}" name="Medpace" dataDxfId="372"/>
    <tableColumn id="7" xr3:uid="{8B90AE93-55A8-4351-98D7-BF338B536517}" name="TOTAL" dataDxfId="371">
      <calculatedColumnFormula>SUM(TableQ42019353637[[#This Row],[IQVIA (Quintiles)]:[Medpace]])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E0AF054-0C18-4EBF-B848-A01C076C1785}" name="TableQ420193536" displayName="TableQ420193536" ref="A2:G5" totalsRowShown="0" dataDxfId="370" tableBorderDxfId="369">
  <autoFilter ref="A2:G5" xr:uid="{00000000-0009-0000-0100-000017000000}"/>
  <tableColumns count="7">
    <tableColumn id="1" xr3:uid="{40376584-3124-41C7-9F43-E9ED3ED6C715}" name="Financial Variables" dataDxfId="368"/>
    <tableColumn id="3" xr3:uid="{B1533298-9D35-4171-8452-38D1905D075E}" name="IQVIA (Quintiles)" dataDxfId="367"/>
    <tableColumn id="6" xr3:uid="{76F2ABBB-62CF-4F12-B6FE-416AF069BFD8}" name="Icon" dataDxfId="366"/>
    <tableColumn id="10" xr3:uid="{D19D0F32-13A0-443E-92AA-ADA166006E49}" name="PRA" dataDxfId="365"/>
    <tableColumn id="8" xr3:uid="{6D1EF3B5-A2E7-4BB6-B359-CF7331C9EA12}" name="Syneos (INC + inVentiv)" dataDxfId="364"/>
    <tableColumn id="5" xr3:uid="{51AF4486-ED78-48F3-888C-BAE200EE33EE}" name="Medpace" dataDxfId="363"/>
    <tableColumn id="7" xr3:uid="{53B2A81C-A06E-41F9-B876-23578D25140B}" name="TOTAL" dataDxfId="362">
      <calculatedColumnFormula>SUM(TableQ420193536[[#This Row],[IQVIA (Quintiles)]:[Medpace]])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383F805-1551-4E8E-B413-CF82C61D6443}" name="TableQ4201935" displayName="TableQ4201935" ref="A2:G5" totalsRowShown="0" dataDxfId="361" tableBorderDxfId="360">
  <autoFilter ref="A2:G5" xr:uid="{00000000-0009-0000-0100-000017000000}"/>
  <tableColumns count="7">
    <tableColumn id="1" xr3:uid="{5FD30EF5-6DD3-484A-9DA4-D80614E4E1F3}" name="Financial Variables" dataDxfId="359"/>
    <tableColumn id="3" xr3:uid="{3182926D-4AE0-43B5-9D8A-EAE407E891A4}" name="IQVIA (Quintiles)" dataDxfId="358"/>
    <tableColumn id="6" xr3:uid="{BCEBA0FD-C059-4284-BBF8-CD16E9DA211A}" name="Icon" dataDxfId="357"/>
    <tableColumn id="10" xr3:uid="{BE9253FE-876D-4B31-AD8D-F3FE1854CF0F}" name="PRA" dataDxfId="356"/>
    <tableColumn id="8" xr3:uid="{DA30936A-BC7D-4CA0-9A75-875FAB3C90C0}" name="Syneos (INC + inVentiv)" dataDxfId="355"/>
    <tableColumn id="5" xr3:uid="{A4DEF10B-9B82-4705-9B57-B125A7CF8D4A}" name="Medpace" dataDxfId="354"/>
    <tableColumn id="7" xr3:uid="{E5CD63F5-DCA7-42CF-B06A-11CDADB49B9F}" name="TOTAL" dataDxfId="353">
      <calculatedColumnFormula>SUM(TableQ4201935[[#This Row],[IQVIA (Quintiles)]:[Medpace]])</calculatedColumnFormula>
    </tableColumn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5CD64FE-2E9B-4C35-939B-3BC3C51A2741}" name="TableQ42019" displayName="TableQ42019" ref="A2:G5" totalsRowShown="0" dataDxfId="352" tableBorderDxfId="351">
  <autoFilter ref="A2:G5" xr:uid="{00000000-0009-0000-0100-000017000000}"/>
  <tableColumns count="7">
    <tableColumn id="1" xr3:uid="{604662B8-A0A7-4BF4-B004-5F8957905D9F}" name="Financial Variables" dataDxfId="350"/>
    <tableColumn id="3" xr3:uid="{18EB48AA-606B-45CF-B92B-9ACABFD0137C}" name="IQVIA (Quintiles)" dataDxfId="349"/>
    <tableColumn id="6" xr3:uid="{3DD9F361-45FC-499A-A6FD-D1AF79803239}" name="Icon" dataDxfId="348"/>
    <tableColumn id="10" xr3:uid="{5F7420C1-7340-4735-BAAC-D1AD660421EF}" name="PRA" dataDxfId="347"/>
    <tableColumn id="8" xr3:uid="{C15A18BA-E4E2-418B-9857-C5E620143463}" name="Syneos (INC + inVentiv)" dataDxfId="346"/>
    <tableColumn id="5" xr3:uid="{07D6DE97-4E5B-45A5-8F61-4B6F39A93A41}" name="Medpace" dataDxfId="345"/>
    <tableColumn id="7" xr3:uid="{EC6BEA4A-87E0-4B7C-A427-9598C643A401}" name="TOTAL" dataDxfId="344">
      <calculatedColumnFormula>SUM(TableQ42019[[#This Row],[IQVIA (Quintiles)]:[Medpace]])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5B15F82-B25D-4F54-B69D-3EF825D74FAC}" name="TableQ2201933" displayName="TableQ2201933" ref="A2:G5" totalsRowShown="0" dataDxfId="343" tableBorderDxfId="342">
  <autoFilter ref="A2:G5" xr:uid="{00000000-0009-0000-0100-000017000000}"/>
  <tableColumns count="7">
    <tableColumn id="1" xr3:uid="{3F0C44F6-5698-4D09-9B36-67075B956187}" name="Financial Variables" dataDxfId="341"/>
    <tableColumn id="3" xr3:uid="{7C2967F1-E10A-4390-BF4C-E0924E72689B}" name="IQVIA (Quintiles)" dataDxfId="340"/>
    <tableColumn id="6" xr3:uid="{C4E1A44E-957B-448E-8EE0-3F4B20804337}" name="Icon" dataDxfId="339"/>
    <tableColumn id="10" xr3:uid="{F419ED35-28DE-4562-BFD9-E3A692F1258F}" name="PRA" dataDxfId="338"/>
    <tableColumn id="8" xr3:uid="{3F7D42EB-23B3-4DD4-A213-27073A63A445}" name="Syneos (INC + inVentiv)" dataDxfId="337"/>
    <tableColumn id="5" xr3:uid="{0D40C03B-03A4-433F-BCC1-4224061D2BB6}" name="Medpace" dataDxfId="336"/>
    <tableColumn id="7" xr3:uid="{025E6E22-06C9-4EF8-83D1-B984CE1049AD}" name="TOTAL" dataDxfId="335">
      <calculatedColumnFormula>SUM(TableQ2201933[[#This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083F8AC-B15A-4AEA-9516-70E5BB08BE07}" name="TableQ22019" displayName="TableQ22019" ref="A2:G5" totalsRowShown="0" dataDxfId="334" tableBorderDxfId="333">
  <autoFilter ref="A2:G5" xr:uid="{00000000-0009-0000-0100-000017000000}"/>
  <tableColumns count="7">
    <tableColumn id="1" xr3:uid="{71078635-7A38-43B5-A7B2-EA931EC3BE11}" name="Financial Variables" dataDxfId="332"/>
    <tableColumn id="3" xr3:uid="{6072392C-C560-48DE-90CB-94AB5DEA3C35}" name="IQVIA (Quintiles)" dataDxfId="331"/>
    <tableColumn id="6" xr3:uid="{78A762EA-8A46-4C32-91D9-3D34C63F412D}" name="Icon" dataDxfId="330"/>
    <tableColumn id="10" xr3:uid="{EC05391A-8CA7-464D-84F3-2A3161CB8EE5}" name="PRA" dataDxfId="329"/>
    <tableColumn id="8" xr3:uid="{36794D93-2B89-404A-9B11-5A8C5335135D}" name="Syneos (INC + inVentiv)" dataDxfId="328"/>
    <tableColumn id="5" xr3:uid="{84189EDC-CD94-4D95-83B0-133D2CCD7C0B}" name="Medpace" dataDxfId="327"/>
    <tableColumn id="7" xr3:uid="{5005B57B-5A4D-4305-8B0C-3C2D41BB0FE4}" name="TOTAL" dataDxfId="326">
      <calculatedColumnFormula>SUM(TableQ22019[[#This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5BA2444-D3A2-4D6A-AA62-6AC34C053A75}" name="TableQ12019" displayName="TableQ12019" ref="A2:G5" totalsRowShown="0" dataDxfId="325" tableBorderDxfId="324">
  <autoFilter ref="A2:G5" xr:uid="{00000000-0009-0000-0100-000017000000}"/>
  <tableColumns count="7">
    <tableColumn id="1" xr3:uid="{491A9372-4070-42E5-901B-938F5945707D}" name="Financial Variables" dataDxfId="323"/>
    <tableColumn id="3" xr3:uid="{30DD676D-9E94-4100-9C56-6EAA4A08E2B8}" name="IQVIA (Quintiles)" dataDxfId="322"/>
    <tableColumn id="6" xr3:uid="{AB7DB185-C354-4F20-8ADB-68F01E64948F}" name="Icon" dataDxfId="321"/>
    <tableColumn id="10" xr3:uid="{35A9B544-641B-4A98-9E77-E16BB0C0945E}" name="PRA" dataDxfId="320"/>
    <tableColumn id="8" xr3:uid="{EF06EE11-BB38-4025-885D-E78D3FFA829D}" name="Syneos (INC + inVentiv)" dataDxfId="319"/>
    <tableColumn id="5" xr3:uid="{9479B629-9492-4915-AD52-214DEF8D1761}" name="Medpace" dataDxfId="318"/>
    <tableColumn id="7" xr3:uid="{DEDFF3C5-2E63-48E3-8368-3111C514B6C2}" name="TOTAL" dataDxfId="317">
      <calculatedColumnFormula>SUM(TableQ12019[[#This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796636C-A92B-6845-8539-285047950F5B}" name="Table638101112131415161718192021222324252627282930" displayName="Table638101112131415161718192021222324252627282930" ref="A2:G5" dataDxfId="316" tableBorderDxfId="315">
  <autoFilter ref="A2:G5" xr:uid="{00000000-0009-0000-0100-000017000000}"/>
  <tableColumns count="7">
    <tableColumn id="1" xr3:uid="{FF1FCB50-921B-4245-8EA9-A27E70B0A5DC}" name="Financial Variables" totalsRowLabel="Total" dataDxfId="314" totalsRowDxfId="313"/>
    <tableColumn id="3" xr3:uid="{E0C2EF59-609F-D342-961B-D74437812C3C}" name="IQVIA (Quintiles)" dataDxfId="312" totalsRowDxfId="311"/>
    <tableColumn id="6" xr3:uid="{8CCAC24A-9195-1241-BD4F-A42C3EE33BC1}" name="Icon" dataDxfId="310" totalsRowDxfId="309"/>
    <tableColumn id="10" xr3:uid="{3851A080-C514-104A-8672-3D60C07745C0}" name="PRA" dataDxfId="308" totalsRowDxfId="307"/>
    <tableColumn id="8" xr3:uid="{CFEA5797-97AA-394A-9951-DEB75DA91A65}" name="Syneos (INC + inVentiv)" dataDxfId="306" totalsRowDxfId="305"/>
    <tableColumn id="5" xr3:uid="{DC690AAC-3CA4-8D41-8733-B12E4BD01F2F}" name="Medpace" dataDxfId="304" totalsRowDxfId="303"/>
    <tableColumn id="7" xr3:uid="{E4DC2A22-4D1A-004F-97CB-0A8E504F7571}" name="TOTAL" totalsRowFunction="sum" dataDxfId="302" totalsRowDxfId="301">
      <calculatedColumnFormula>SUM(Table638101112131415161718192021222324252627282930[[#This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9103912-10BA-334C-8F6A-BD1D398B7C7E}" name="Table6381011121314151617181920212223242526272829" displayName="Table6381011121314151617181920212223242526272829" ref="A2:G5" totalsRowShown="0" dataDxfId="300" tableBorderDxfId="299">
  <autoFilter ref="A2:G5" xr:uid="{00000000-0009-0000-0100-000017000000}"/>
  <tableColumns count="7">
    <tableColumn id="1" xr3:uid="{1045F46C-A3FF-E143-B54C-AE472A8C20F8}" name="Financial Variables" dataDxfId="298"/>
    <tableColumn id="3" xr3:uid="{BFE25F47-D61F-2740-B664-D88E1D3EE816}" name="IQVIA (Quintiles)" dataDxfId="297"/>
    <tableColumn id="6" xr3:uid="{0DEE9163-2AE8-0441-B732-4D8FFA2441CE}" name="Icon" dataDxfId="296"/>
    <tableColumn id="10" xr3:uid="{37677C62-2A64-2D4A-B990-B89D68097263}" name="PRA" dataDxfId="295"/>
    <tableColumn id="8" xr3:uid="{DE294E7F-AD33-944B-8120-4DD445471721}" name="Syneos (INC + inVentiv)" dataDxfId="294"/>
    <tableColumn id="5" xr3:uid="{5744C83B-8B1D-5348-9F71-B929D3A898FC}" name="Medpace" dataDxfId="293"/>
    <tableColumn id="7" xr3:uid="{60D8967B-EB85-9E47-8DCA-275CA304ECAF}" name="TOTAL" dataDxfId="292">
      <calculatedColumnFormula>SUM(Table6381011121314151617181920212223242526272829[[#This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72773C7-88DF-B446-B75B-FFC3B20419A3}" name="Table63810111213141516171819202122232425262728" displayName="Table63810111213141516171819202122232425262728" ref="A2:G5" totalsRowShown="0" dataDxfId="291" tableBorderDxfId="290">
  <autoFilter ref="A2:G5" xr:uid="{00000000-0009-0000-0100-000017000000}"/>
  <tableColumns count="7">
    <tableColumn id="1" xr3:uid="{0C235951-5584-CF4D-9280-C0B704949136}" name="Financial Variables" dataDxfId="289"/>
    <tableColumn id="3" xr3:uid="{01F57955-9B14-3847-AE4F-0254E0F4016A}" name="IQVIA (Quintiles)" dataDxfId="288"/>
    <tableColumn id="6" xr3:uid="{F58B44E8-AED1-004A-BF21-0658683A126C}" name="Icon" dataDxfId="287"/>
    <tableColumn id="10" xr3:uid="{5791AFA3-4276-D74E-953D-10723951C62A}" name="PRA" dataDxfId="286"/>
    <tableColumn id="8" xr3:uid="{79D42089-7234-664A-8314-D7BC321019E9}" name="Syneos (INC + inVentiv)" dataDxfId="285"/>
    <tableColumn id="5" xr3:uid="{82A5844D-DC15-5D4F-A5FB-7DD2A1F7973A}" name="Medpace" dataDxfId="284"/>
    <tableColumn id="7" xr3:uid="{B1FF87E2-02D8-5D49-95C3-2332CC79E3F5}" name="TOTAL" dataDxfId="283">
      <calculatedColumnFormula>SUM(Table63810111213141516171819202122232425262728[[#This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E810A61-FC62-4018-AD36-FFA04361B56C}" name="TableQ4201935363738404142434445" displayName="TableQ4201935363738404142434445" ref="A2:F5" totalsRowShown="0" dataDxfId="445" tableBorderDxfId="444">
  <autoFilter ref="A2:F5" xr:uid="{00000000-0009-0000-0100-000017000000}"/>
  <tableColumns count="6">
    <tableColumn id="1" xr3:uid="{CB5BE791-95CC-4F76-B770-B234B95D9C9A}" name="Financial Variables" dataDxfId="443"/>
    <tableColumn id="3" xr3:uid="{26D560A1-2B15-4710-B342-0A3AC89CB9EB}" name="IQVIA (Quintiles)" dataDxfId="442">
      <calculatedColumnFormula>0.647*3438000</calculatedColumnFormula>
    </tableColumn>
    <tableColumn id="6" xr3:uid="{76C16A44-6FF1-4D1D-9C8B-3B11C351ABFC}" name="PRA/ICON" dataDxfId="441"/>
    <tableColumn id="8" xr3:uid="{35803573-83F7-4303-A47E-909E7F184751}" name="Syneos (INC + inVentiv)" dataDxfId="440"/>
    <tableColumn id="5" xr3:uid="{3D3E7564-BD63-4DBE-BE25-E500B265A80F}" name="Medpace" dataDxfId="439"/>
    <tableColumn id="7" xr3:uid="{6DD4C404-0A17-4175-8FD5-89CAF7524C1D}" name="TOTAL" dataDxfId="438">
      <calculatedColumnFormula>SUM(TableQ4201935363738404142434445[[#This Row],[IQVIA (Quintiles)]:[Medpace]])</calculatedColumnFormula>
    </tableColumn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B004466-6234-9E42-8F6E-FA6536455CD7}" name="Table638101112131415161718192021222324252627" displayName="Table638101112131415161718192021222324252627" ref="A2:G5" totalsRowShown="0" dataDxfId="282" tableBorderDxfId="281">
  <autoFilter ref="A2:G5" xr:uid="{00000000-0009-0000-0100-000017000000}"/>
  <tableColumns count="7">
    <tableColumn id="1" xr3:uid="{9285249E-DF13-B646-8172-0A5CB861720A}" name="Financial Variables" dataDxfId="280"/>
    <tableColumn id="3" xr3:uid="{8AB667C9-3566-3445-AF3E-B8D8B9177F3A}" name="IQVIA (Quintiles)" dataDxfId="279"/>
    <tableColumn id="6" xr3:uid="{3DA09BB1-9F4C-C840-B568-0D105C76F957}" name="Icon" dataDxfId="278"/>
    <tableColumn id="10" xr3:uid="{3A0A7799-F2A0-214E-86C1-B1BC66B464CD}" name="PRA" dataDxfId="277"/>
    <tableColumn id="8" xr3:uid="{7E4F0EA2-E6D2-024F-A9E7-F28B8DE69D5C}" name="Syneos (INC + inVentiv)" dataDxfId="276"/>
    <tableColumn id="5" xr3:uid="{A7CC32F8-FFEF-6242-9170-0F0A67D28484}" name="Medpace" dataDxfId="275"/>
    <tableColumn id="7" xr3:uid="{CA5EB982-530D-9D4B-9DE9-EC8348AB0A77}" name="TOTAL" dataDxfId="274">
      <calculatedColumnFormula>SUM(Table638101112131415161718192021222324252627[[#This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0BFD508-EB89-2A43-81CB-15FB9396E1C5}" name="Table6381011121314151617181920212223242526" displayName="Table6381011121314151617181920212223242526" ref="A2:H20" totalsRowShown="0" dataDxfId="273" tableBorderDxfId="272">
  <autoFilter ref="A2:H20" xr:uid="{00000000-0009-0000-0100-000017000000}"/>
  <tableColumns count="8">
    <tableColumn id="1" xr3:uid="{F0AFEC05-BCA4-404B-95E9-C0DFD94BDFFB}" name="Financial Variables" dataDxfId="271"/>
    <tableColumn id="2" xr3:uid="{DF1CF3BD-47C4-0843-B3CF-1D3B30DC60E2}" name="Sub Categories" dataDxfId="270"/>
    <tableColumn id="3" xr3:uid="{210D02A6-8FCD-024B-9C36-750E46EEB218}" name="IQVIA (Quintiles)" dataDxfId="269"/>
    <tableColumn id="6" xr3:uid="{BEB5EC67-101C-BB43-904B-2F276E525142}" name="Icon" dataDxfId="268"/>
    <tableColumn id="10" xr3:uid="{E176B7EA-27AE-2D47-B877-4A7F8ABDC0AD}" name="PRA" dataDxfId="267"/>
    <tableColumn id="8" xr3:uid="{4C7A5F6E-D2AB-D242-91CA-630D0196A82D}" name="Syneos (INC + inVentiv)" dataDxfId="266"/>
    <tableColumn id="5" xr3:uid="{C137B8B0-0037-8849-80C2-BD3E574BC953}" name="Medpace" dataDxfId="265"/>
    <tableColumn id="7" xr3:uid="{B1B76DC5-BE19-1D46-ADD4-F37BD81F2A05}" name="TOTAL" dataDxfId="264">
      <calculatedColumnFormula>SUM(Table6381011121314151617181920212223242526[[#This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D0D9DB9-7C5B-774A-A0C3-98362453A93E}" name="Table63810111213141516171819202122232425" displayName="Table63810111213141516171819202122232425" ref="A2:H20" totalsRowShown="0" dataDxfId="263" tableBorderDxfId="262">
  <autoFilter ref="A2:H20" xr:uid="{00000000-0009-0000-0100-000017000000}"/>
  <tableColumns count="8">
    <tableColumn id="1" xr3:uid="{89CD0A3F-4139-A54F-B46E-C9EDDD8B4688}" name="Financial Variables" dataDxfId="261"/>
    <tableColumn id="2" xr3:uid="{44923538-3DA5-394B-958A-E1E2BBD8A7C8}" name="Sub Categories" dataDxfId="260"/>
    <tableColumn id="3" xr3:uid="{7F511C0F-D69C-C149-85DD-056414AC422A}" name="Quintiles" dataDxfId="259"/>
    <tableColumn id="6" xr3:uid="{E622D884-E5E8-1F46-A9C9-B98F1CCB79F6}" name="Icon" dataDxfId="258"/>
    <tableColumn id="10" xr3:uid="{B0127B52-D799-A741-9E26-19E9B6D6F1C2}" name="PRA" dataDxfId="257"/>
    <tableColumn id="8" xr3:uid="{58FCB08E-21D8-E345-A31A-0FEFF864F11C}" name="INC" dataDxfId="256"/>
    <tableColumn id="5" xr3:uid="{144C4B4B-210C-DE46-A115-8B3F27026EAD}" name="Medpace" dataDxfId="255"/>
    <tableColumn id="7" xr3:uid="{1D443A4D-E606-9741-AD83-91D5AD33101C}" name="TOTAL" dataDxfId="254">
      <calculatedColumnFormula>SUM(Table63810111213141516171819202122232425[[#This Row],[Quintiles]:[INC]])</calculatedColumnFormula>
    </tableColumn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0000000}" name="Table638101112131415161718192021222324" displayName="Table638101112131415161718192021222324" ref="A2:H20" totalsRowShown="0" dataDxfId="253" tableBorderDxfId="252">
  <autoFilter ref="A2:H20" xr:uid="{00000000-0009-0000-0100-000017000000}"/>
  <tableColumns count="8">
    <tableColumn id="1" xr3:uid="{00000000-0010-0000-0000-000001000000}" name="Financial Variables" dataDxfId="251"/>
    <tableColumn id="2" xr3:uid="{00000000-0010-0000-0000-000002000000}" name="Sub Categories" dataDxfId="250"/>
    <tableColumn id="3" xr3:uid="{00000000-0010-0000-0000-000003000000}" name="Quintiles" dataDxfId="249"/>
    <tableColumn id="6" xr3:uid="{00000000-0010-0000-0000-000006000000}" name="Icon" dataDxfId="248"/>
    <tableColumn id="10" xr3:uid="{00000000-0010-0000-0000-00000A000000}" name="PRA" dataDxfId="247"/>
    <tableColumn id="8" xr3:uid="{00000000-0010-0000-0000-000008000000}" name="INC" dataDxfId="246"/>
    <tableColumn id="5" xr3:uid="{00000000-0010-0000-0000-000005000000}" name="Medpace" dataDxfId="245"/>
    <tableColumn id="7" xr3:uid="{00000000-0010-0000-0000-000007000000}" name="TOTAL" dataDxfId="244">
      <calculatedColumnFormula>SUM(Table638101112131415161718192021222324[[#This Row],[Quintiles]:[INC]])</calculatedColumnFormula>
    </tableColumn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e6381011121314151617181920212223" displayName="Table6381011121314151617181920212223" ref="A2:I20" totalsRowShown="0" dataDxfId="243" tableBorderDxfId="242">
  <autoFilter ref="A2:I20" xr:uid="{00000000-0009-0000-0100-000016000000}"/>
  <tableColumns count="9">
    <tableColumn id="1" xr3:uid="{00000000-0010-0000-0100-000001000000}" name="Financial Variables" dataDxfId="241"/>
    <tableColumn id="2" xr3:uid="{00000000-0010-0000-0100-000002000000}" name="Sub Categories" dataDxfId="240"/>
    <tableColumn id="3" xr3:uid="{00000000-0010-0000-0100-000003000000}" name="Quintiles" dataDxfId="239"/>
    <tableColumn id="4" xr3:uid="{00000000-0010-0000-0100-000004000000}" name="Parexel" dataDxfId="238"/>
    <tableColumn id="6" xr3:uid="{00000000-0010-0000-0100-000006000000}" name="Icon" dataDxfId="237"/>
    <tableColumn id="10" xr3:uid="{00000000-0010-0000-0100-00000A000000}" name="PRA" dataDxfId="236"/>
    <tableColumn id="8" xr3:uid="{00000000-0010-0000-0100-000008000000}" name="INC" dataDxfId="235"/>
    <tableColumn id="5" xr3:uid="{00000000-0010-0000-0100-000005000000}" name="Medpace" dataDxfId="234"/>
    <tableColumn id="7" xr3:uid="{00000000-0010-0000-0100-000007000000}" name="TOTAL" dataDxfId="233">
      <calculatedColumnFormula>SUM(Table6381011121314151617181920212223[[#This Row],[Quintiles]:[INC]])</calculatedColumnFormula>
    </tableColumn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Table63810111213141516171819202122" displayName="Table63810111213141516171819202122" ref="A2:I20" totalsRowShown="0" dataDxfId="232" tableBorderDxfId="231">
  <autoFilter ref="A2:I20" xr:uid="{00000000-0009-0000-0100-000015000000}"/>
  <tableColumns count="9">
    <tableColumn id="1" xr3:uid="{00000000-0010-0000-0200-000001000000}" name="Financial Variables" dataDxfId="230"/>
    <tableColumn id="2" xr3:uid="{00000000-0010-0000-0200-000002000000}" name="Sub Categories" dataDxfId="229"/>
    <tableColumn id="3" xr3:uid="{00000000-0010-0000-0200-000003000000}" name="Quintiles" dataDxfId="228"/>
    <tableColumn id="4" xr3:uid="{00000000-0010-0000-0200-000004000000}" name="Parexel" dataDxfId="227"/>
    <tableColumn id="6" xr3:uid="{00000000-0010-0000-0200-000006000000}" name="Icon" dataDxfId="226"/>
    <tableColumn id="10" xr3:uid="{00000000-0010-0000-0200-00000A000000}" name="PRA" dataDxfId="225"/>
    <tableColumn id="8" xr3:uid="{00000000-0010-0000-0200-000008000000}" name="INC" dataDxfId="224"/>
    <tableColumn id="5" xr3:uid="{00000000-0010-0000-0200-000005000000}" name="Medpace"/>
    <tableColumn id="7" xr3:uid="{00000000-0010-0000-0200-000007000000}" name="TOTAL" dataDxfId="223">
      <calculatedColumnFormula>SUM(Table63810111213141516171819202122[[#This Row],[Quintiles]:[INC]])</calculatedColumnFormula>
    </tableColumn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Table638101112131415161718192021" displayName="Table638101112131415161718192021" ref="A2:I20" totalsRowShown="0" dataDxfId="222" tableBorderDxfId="221">
  <autoFilter ref="A2:I20" xr:uid="{00000000-0009-0000-0100-000014000000}"/>
  <tableColumns count="9">
    <tableColumn id="1" xr3:uid="{00000000-0010-0000-0300-000001000000}" name="Financial Variables" dataDxfId="220"/>
    <tableColumn id="2" xr3:uid="{00000000-0010-0000-0300-000002000000}" name="Sub Categories" dataDxfId="219"/>
    <tableColumn id="3" xr3:uid="{00000000-0010-0000-0300-000003000000}" name="Quintiles" dataDxfId="218"/>
    <tableColumn id="4" xr3:uid="{00000000-0010-0000-0300-000004000000}" name="Parexel" dataDxfId="217"/>
    <tableColumn id="6" xr3:uid="{00000000-0010-0000-0300-000006000000}" name="Icon" dataDxfId="216"/>
    <tableColumn id="10" xr3:uid="{00000000-0010-0000-0300-00000A000000}" name="PRA" dataDxfId="215"/>
    <tableColumn id="8" xr3:uid="{00000000-0010-0000-0300-000008000000}" name="INC" dataDxfId="214"/>
    <tableColumn id="5" xr3:uid="{00000000-0010-0000-0300-000005000000}" name="Medpace"/>
    <tableColumn id="7" xr3:uid="{00000000-0010-0000-0300-000007000000}" name="TOTAL" dataDxfId="213">
      <calculatedColumnFormula>SUM(Table638101112131415161718192021[[#This Row],[Quintiles]:[INC]])</calculatedColumnFormula>
    </tableColumn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Table6381011121314151617181920" displayName="Table6381011121314151617181920" ref="A2:H20" totalsRowShown="0" dataDxfId="212" tableBorderDxfId="211">
  <autoFilter ref="A2:H20" xr:uid="{00000000-0009-0000-0100-000013000000}"/>
  <tableColumns count="8">
    <tableColumn id="1" xr3:uid="{00000000-0010-0000-0400-000001000000}" name="Financial Variables" dataDxfId="210"/>
    <tableColumn id="2" xr3:uid="{00000000-0010-0000-0400-000002000000}" name="Sub Categories" dataDxfId="209"/>
    <tableColumn id="3" xr3:uid="{00000000-0010-0000-0400-000003000000}" name="Quintiles" dataDxfId="208"/>
    <tableColumn id="4" xr3:uid="{00000000-0010-0000-0400-000004000000}" name="Parexel" dataDxfId="207"/>
    <tableColumn id="6" xr3:uid="{00000000-0010-0000-0400-000006000000}" name="Icon" dataDxfId="206"/>
    <tableColumn id="10" xr3:uid="{00000000-0010-0000-0400-00000A000000}" name="PRA" dataDxfId="205"/>
    <tableColumn id="8" xr3:uid="{00000000-0010-0000-0400-000008000000}" name="INC" dataDxfId="204"/>
    <tableColumn id="7" xr3:uid="{00000000-0010-0000-0400-000007000000}" name="TOTAL" dataDxfId="203">
      <calculatedColumnFormula>SUM(Table6381011121314151617181920[[#This Row],[Quintiles]:[INC]])</calculatedColumnFormula>
    </tableColumn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5000000}" name="Table63810111213141516171819" displayName="Table63810111213141516171819" ref="A2:H20" totalsRowShown="0" dataDxfId="202" tableBorderDxfId="201">
  <autoFilter ref="A2:H20" xr:uid="{00000000-0009-0000-0100-000012000000}"/>
  <tableColumns count="8">
    <tableColumn id="1" xr3:uid="{00000000-0010-0000-0500-000001000000}" name="Financial Variables" dataDxfId="200"/>
    <tableColumn id="2" xr3:uid="{00000000-0010-0000-0500-000002000000}" name="Sub Categories" dataDxfId="199"/>
    <tableColumn id="3" xr3:uid="{00000000-0010-0000-0500-000003000000}" name="Quintiles" dataDxfId="198"/>
    <tableColumn id="4" xr3:uid="{00000000-0010-0000-0500-000004000000}" name="Parexel" dataDxfId="197"/>
    <tableColumn id="6" xr3:uid="{00000000-0010-0000-0500-000006000000}" name="Icon" dataDxfId="196"/>
    <tableColumn id="10" xr3:uid="{00000000-0010-0000-0500-00000A000000}" name="PRA" dataDxfId="195"/>
    <tableColumn id="8" xr3:uid="{00000000-0010-0000-0500-000008000000}" name="INC" dataDxfId="194"/>
    <tableColumn id="7" xr3:uid="{00000000-0010-0000-0500-000007000000}" name="TOTAL" dataDxfId="193">
      <calculatedColumnFormula>SUM(Table63810111213141516171819[[#This Row],[Quintiles]:[INC]])</calculatedColumnFormula>
    </tableColumn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Table638101112131415161718" displayName="Table638101112131415161718" ref="A2:H20" totalsRowShown="0" dataDxfId="192" tableBorderDxfId="191">
  <autoFilter ref="A2:H20" xr:uid="{00000000-0009-0000-0100-000011000000}"/>
  <tableColumns count="8">
    <tableColumn id="1" xr3:uid="{00000000-0010-0000-0600-000001000000}" name="Financial Variables" dataDxfId="190"/>
    <tableColumn id="2" xr3:uid="{00000000-0010-0000-0600-000002000000}" name="Sub Categories" dataDxfId="189"/>
    <tableColumn id="3" xr3:uid="{00000000-0010-0000-0600-000003000000}" name="Quintiles" dataDxfId="188"/>
    <tableColumn id="4" xr3:uid="{00000000-0010-0000-0600-000004000000}" name="Parexel" dataDxfId="187"/>
    <tableColumn id="6" xr3:uid="{00000000-0010-0000-0600-000006000000}" name="Icon" dataDxfId="186"/>
    <tableColumn id="10" xr3:uid="{00000000-0010-0000-0600-00000A000000}" name="PRA" dataDxfId="185"/>
    <tableColumn id="8" xr3:uid="{00000000-0010-0000-0600-000008000000}" name="INC" dataDxfId="184"/>
    <tableColumn id="7" xr3:uid="{00000000-0010-0000-0600-000007000000}" name="TOTAL" dataDxfId="183">
      <calculatedColumnFormula>SUM(Table638101112131415161718[[#This Row],[Quintiles]:[INC]])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E2B249-BDA1-47D6-B95D-67EB8D961868}" name="TableQ42019353637384041424344" displayName="TableQ42019353637384041424344" ref="A2:F5" totalsRowShown="0" dataDxfId="437" tableBorderDxfId="436">
  <autoFilter ref="A2:F5" xr:uid="{00000000-0009-0000-0100-000017000000}"/>
  <tableColumns count="6">
    <tableColumn id="1" xr3:uid="{99382C0C-F02F-46AD-8E5B-2C24FF6906B8}" name="Financial Variables" dataDxfId="435"/>
    <tableColumn id="3" xr3:uid="{88837244-095A-44F4-8502-7592F78E3F9E}" name="IQVIA (Quintiles)" dataDxfId="434">
      <calculatedColumnFormula>0.647*3438000</calculatedColumnFormula>
    </tableColumn>
    <tableColumn id="6" xr3:uid="{3277EDC0-63EF-46AA-A4D1-9F3E051BAFEF}" name="PRA/ICON" dataDxfId="433"/>
    <tableColumn id="8" xr3:uid="{38CD9AE7-7028-47BA-8BB2-8D3123F6013C}" name="Syneos (INC + inVentiv)" dataDxfId="432"/>
    <tableColumn id="5" xr3:uid="{FFC171F6-164A-414D-A6D7-5457C9281E15}" name="Medpace" dataDxfId="431"/>
    <tableColumn id="7" xr3:uid="{57E57851-E1CD-48C4-84A7-092FBDE05C8E}" name="TOTAL" dataDxfId="430">
      <calculatedColumnFormula>SUM(TableQ42019353637384041424344[[#This Row],[IQVIA (Quintiles)]:[Medpace]])</calculatedColumnFormula>
    </tableColumn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Table6381011121314151617" displayName="Table6381011121314151617" ref="A2:H20" totalsRowShown="0" dataDxfId="182" tableBorderDxfId="181">
  <autoFilter ref="A2:H20" xr:uid="{00000000-0009-0000-0100-000010000000}"/>
  <tableColumns count="8">
    <tableColumn id="1" xr3:uid="{00000000-0010-0000-0700-000001000000}" name="Financial Variables" dataDxfId="180"/>
    <tableColumn id="2" xr3:uid="{00000000-0010-0000-0700-000002000000}" name="Sub Categories" dataDxfId="179"/>
    <tableColumn id="3" xr3:uid="{00000000-0010-0000-0700-000003000000}" name="Quintiles" dataDxfId="178"/>
    <tableColumn id="4" xr3:uid="{00000000-0010-0000-0700-000004000000}" name="Parexel" dataDxfId="177"/>
    <tableColumn id="6" xr3:uid="{00000000-0010-0000-0700-000006000000}" name="Icon" dataDxfId="176"/>
    <tableColumn id="10" xr3:uid="{00000000-0010-0000-0700-00000A000000}" name="PRA" dataDxfId="175"/>
    <tableColumn id="8" xr3:uid="{00000000-0010-0000-0700-000008000000}" name="INC" dataDxfId="174"/>
    <tableColumn id="7" xr3:uid="{00000000-0010-0000-0700-000007000000}" name="TOTAL" dataDxfId="173">
      <calculatedColumnFormula>SUM(Table6381011121314151617[[#This Row],[Quintiles]:[INC]])</calculatedColumnFormula>
    </tableColumn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le63810111213141516" displayName="Table63810111213141516" ref="A2:H20" totalsRowShown="0" dataDxfId="172" tableBorderDxfId="171">
  <autoFilter ref="A2:H20" xr:uid="{00000000-0009-0000-0100-00000F000000}"/>
  <tableColumns count="8">
    <tableColumn id="1" xr3:uid="{00000000-0010-0000-0800-000001000000}" name="Financial Variables" dataDxfId="170"/>
    <tableColumn id="2" xr3:uid="{00000000-0010-0000-0800-000002000000}" name="Sub Categories" dataDxfId="169"/>
    <tableColumn id="3" xr3:uid="{00000000-0010-0000-0800-000003000000}" name="Quintiles" dataDxfId="168"/>
    <tableColumn id="4" xr3:uid="{00000000-0010-0000-0800-000004000000}" name="Parexel" dataDxfId="167"/>
    <tableColumn id="6" xr3:uid="{00000000-0010-0000-0800-000006000000}" name="Icon" dataDxfId="166"/>
    <tableColumn id="10" xr3:uid="{00000000-0010-0000-0800-00000A000000}" name="PRA" dataDxfId="165"/>
    <tableColumn id="8" xr3:uid="{00000000-0010-0000-0800-000008000000}" name="INC" dataDxfId="164"/>
    <tableColumn id="7" xr3:uid="{00000000-0010-0000-0800-000007000000}" name="TOTAL" dataDxfId="163">
      <calculatedColumnFormula>SUM(Table63810111213141516[[#This Row],[Quintiles]:[INC]])</calculatedColumnFormula>
    </tableColumn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le638101112131415" displayName="Table638101112131415" ref="A2:H20" totalsRowShown="0" dataDxfId="162" tableBorderDxfId="161">
  <autoFilter ref="A2:H20" xr:uid="{00000000-0009-0000-0100-00000E000000}"/>
  <tableColumns count="8">
    <tableColumn id="1" xr3:uid="{00000000-0010-0000-0900-000001000000}" name="Financial Variables" dataDxfId="160"/>
    <tableColumn id="2" xr3:uid="{00000000-0010-0000-0900-000002000000}" name="Sub Categories" dataDxfId="159"/>
    <tableColumn id="3" xr3:uid="{00000000-0010-0000-0900-000003000000}" name="Quintiles" dataDxfId="158"/>
    <tableColumn id="4" xr3:uid="{00000000-0010-0000-0900-000004000000}" name="Parexel" dataDxfId="157"/>
    <tableColumn id="6" xr3:uid="{00000000-0010-0000-0900-000006000000}" name="Icon" dataDxfId="156"/>
    <tableColumn id="10" xr3:uid="{00000000-0010-0000-0900-00000A000000}" name="PRA" dataDxfId="155"/>
    <tableColumn id="8" xr3:uid="{00000000-0010-0000-0900-000008000000}" name="INC" dataDxfId="154"/>
    <tableColumn id="7" xr3:uid="{00000000-0010-0000-0900-000007000000}" name="TOTAL" dataDxfId="153">
      <calculatedColumnFormula>SUM(Table638101112131415[[#This Row],[Quintiles]:[INC]])</calculatedColumnFormula>
    </tableColumn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6381011121314" displayName="Table6381011121314" ref="A2:J21" totalsRowShown="0" dataDxfId="152" tableBorderDxfId="151">
  <autoFilter ref="A2:J21" xr:uid="{00000000-0009-0000-0100-00000D000000}"/>
  <tableColumns count="10">
    <tableColumn id="1" xr3:uid="{00000000-0010-0000-0A00-000001000000}" name="Financial Variables" dataDxfId="150"/>
    <tableColumn id="2" xr3:uid="{00000000-0010-0000-0A00-000002000000}" name="Sub Categories" dataDxfId="149"/>
    <tableColumn id="3" xr3:uid="{00000000-0010-0000-0A00-000003000000}" name="Quintiles" dataDxfId="148"/>
    <tableColumn id="4" xr3:uid="{00000000-0010-0000-0A00-000004000000}" name="Parexel" dataDxfId="147"/>
    <tableColumn id="5" xr3:uid="{00000000-0010-0000-0A00-000005000000}" name="Covance" dataDxfId="146"/>
    <tableColumn id="6" xr3:uid="{00000000-0010-0000-0A00-000006000000}" name="Icon" dataDxfId="145"/>
    <tableColumn id="9" xr3:uid="{00000000-0010-0000-0A00-000009000000}" name="Charles River" dataDxfId="144"/>
    <tableColumn id="10" xr3:uid="{00000000-0010-0000-0A00-00000A000000}" name="PRA" dataDxfId="143"/>
    <tableColumn id="8" xr3:uid="{00000000-0010-0000-0A00-000008000000}" name="INC" dataDxfId="142"/>
    <tableColumn id="7" xr3:uid="{00000000-0010-0000-0A00-000007000000}" name="TOTAL" dataDxfId="141">
      <calculatedColumnFormula>SUM(Table6381011121314[[#This Row],[Quintiles]:[INC]])</calculatedColumnFormula>
    </tableColumn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63810111213" displayName="Table63810111213" ref="A2:H20" totalsRowShown="0" dataDxfId="140" tableBorderDxfId="139">
  <autoFilter ref="A2:H20" xr:uid="{00000000-0009-0000-0100-00000C000000}"/>
  <tableColumns count="8">
    <tableColumn id="1" xr3:uid="{00000000-0010-0000-0B00-000001000000}" name="Financial Variables" dataDxfId="138"/>
    <tableColumn id="2" xr3:uid="{00000000-0010-0000-0B00-000002000000}" name="Sub Categories" dataDxfId="137"/>
    <tableColumn id="3" xr3:uid="{00000000-0010-0000-0B00-000003000000}" name="Quintiles" dataDxfId="136"/>
    <tableColumn id="4" xr3:uid="{00000000-0010-0000-0B00-000004000000}" name="Parexel" dataDxfId="135"/>
    <tableColumn id="5" xr3:uid="{00000000-0010-0000-0B00-000005000000}" name="Covance" dataDxfId="134"/>
    <tableColumn id="6" xr3:uid="{00000000-0010-0000-0B00-000006000000}" name="Icon" dataDxfId="133"/>
    <tableColumn id="9" xr3:uid="{00000000-0010-0000-0B00-000009000000}" name="Charles River" dataDxfId="132"/>
    <tableColumn id="7" xr3:uid="{00000000-0010-0000-0B00-000007000000}" name="TOTAL" dataDxfId="131">
      <calculatedColumnFormula>Table63810111213[[#This Row],[Quintiles]]+Table63810111213[[#This Row],[Parexel]]+Table63810111213[[#This Row],[Covance]]+Table63810111213[[#This Row],[Icon]]+Table63810111213[[#This Row],[Charles River]]</calculatedColumnFormula>
    </tableColumn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e638101112" displayName="Table638101112" ref="A2:H20" totalsRowShown="0" dataDxfId="130" tableBorderDxfId="129">
  <autoFilter ref="A2:H20" xr:uid="{00000000-0009-0000-0100-00000B000000}"/>
  <tableColumns count="8">
    <tableColumn id="1" xr3:uid="{00000000-0010-0000-0C00-000001000000}" name="Financial Variables" dataDxfId="128"/>
    <tableColumn id="2" xr3:uid="{00000000-0010-0000-0C00-000002000000}" name="Sub Categories" dataDxfId="127"/>
    <tableColumn id="3" xr3:uid="{00000000-0010-0000-0C00-000003000000}" name="Quintiles" dataDxfId="126"/>
    <tableColumn id="4" xr3:uid="{00000000-0010-0000-0C00-000004000000}" name="Parexel" dataDxfId="125"/>
    <tableColumn id="5" xr3:uid="{00000000-0010-0000-0C00-000005000000}" name="Covance" dataDxfId="124"/>
    <tableColumn id="6" xr3:uid="{00000000-0010-0000-0C00-000006000000}" name="Icon" dataDxfId="123"/>
    <tableColumn id="9" xr3:uid="{00000000-0010-0000-0C00-000009000000}" name="Charles River" dataDxfId="122"/>
    <tableColumn id="7" xr3:uid="{00000000-0010-0000-0C00-000007000000}" name="TOTAL" dataDxfId="121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D000000}" name="Table6381011" displayName="Table6381011" ref="A2:H20" totalsRowShown="0" dataDxfId="120" tableBorderDxfId="119">
  <autoFilter ref="A2:H20" xr:uid="{00000000-0009-0000-0100-00000A000000}"/>
  <tableColumns count="8">
    <tableColumn id="1" xr3:uid="{00000000-0010-0000-0D00-000001000000}" name="Financial Variables" dataDxfId="118"/>
    <tableColumn id="2" xr3:uid="{00000000-0010-0000-0D00-000002000000}" name="Sub Categories" dataDxfId="117"/>
    <tableColumn id="3" xr3:uid="{00000000-0010-0000-0D00-000003000000}" name="Quintiles" dataDxfId="116"/>
    <tableColumn id="4" xr3:uid="{00000000-0010-0000-0D00-000004000000}" name="Parexel" dataDxfId="115"/>
    <tableColumn id="5" xr3:uid="{00000000-0010-0000-0D00-000005000000}" name="Covance" dataDxfId="114"/>
    <tableColumn id="6" xr3:uid="{00000000-0010-0000-0D00-000006000000}" name="Icon" dataDxfId="113"/>
    <tableColumn id="9" xr3:uid="{00000000-0010-0000-0D00-000009000000}" name="Charles River" dataDxfId="112"/>
    <tableColumn id="7" xr3:uid="{00000000-0010-0000-0D00-000007000000}" name="TOTAL" dataDxfId="111">
      <calculatedColumnFormula>SUM(Table6381011[[#This Row],[Quintiles]]+Table6381011[[#This Row],[Parexel]]+Table6381011[[#This Row],[Covance]]+Table6381011[[#This Row],[Icon]]+Table6381011[[#This Row],[Charles River]])</calculatedColumnFormula>
    </tableColumn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Table63810" displayName="Table63810" ref="A2:I20" totalsRowShown="0" dataDxfId="110" tableBorderDxfId="109">
  <autoFilter ref="A2:I20" xr:uid="{00000000-0009-0000-0100-000009000000}"/>
  <tableColumns count="9">
    <tableColumn id="1" xr3:uid="{00000000-0010-0000-0E00-000001000000}" name="Financial Variables" dataDxfId="108"/>
    <tableColumn id="2" xr3:uid="{00000000-0010-0000-0E00-000002000000}" name="Sub Categories" dataDxfId="107"/>
    <tableColumn id="3" xr3:uid="{00000000-0010-0000-0E00-000003000000}" name="Quintiles" dataDxfId="106"/>
    <tableColumn id="4" xr3:uid="{00000000-0010-0000-0E00-000004000000}" name="Parexel" dataDxfId="105"/>
    <tableColumn id="5" xr3:uid="{00000000-0010-0000-0E00-000005000000}" name="Covance" dataDxfId="104"/>
    <tableColumn id="6" xr3:uid="{00000000-0010-0000-0E00-000006000000}" name="Icon" dataDxfId="103"/>
    <tableColumn id="8" xr3:uid="{00000000-0010-0000-0E00-000008000000}" name="Wuxi" dataDxfId="102"/>
    <tableColumn id="9" xr3:uid="{00000000-0010-0000-0E00-000009000000}" name="Charles River" dataDxfId="101"/>
    <tableColumn id="7" xr3:uid="{00000000-0010-0000-0E00-000007000000}" name="TOTAL" dataDxfId="100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F000000}" name="Table638" displayName="Table638" ref="A2:H20" totalsRowShown="0" dataDxfId="99" tableBorderDxfId="98">
  <autoFilter ref="A2:H20" xr:uid="{00000000-0009-0000-0100-000007000000}"/>
  <tableColumns count="8">
    <tableColumn id="1" xr3:uid="{00000000-0010-0000-0F00-000001000000}" name="Financial Variables" dataDxfId="97"/>
    <tableColumn id="2" xr3:uid="{00000000-0010-0000-0F00-000002000000}" name="Sub Categories" dataDxfId="96"/>
    <tableColumn id="3" xr3:uid="{00000000-0010-0000-0F00-000003000000}" name="Quintiles" dataDxfId="95"/>
    <tableColumn id="4" xr3:uid="{00000000-0010-0000-0F00-000004000000}" name="Parexel" dataDxfId="94"/>
    <tableColumn id="5" xr3:uid="{00000000-0010-0000-0F00-000005000000}" name="Covance" dataDxfId="93"/>
    <tableColumn id="6" xr3:uid="{00000000-0010-0000-0F00-000006000000}" name="Icon" dataDxfId="92"/>
    <tableColumn id="8" xr3:uid="{00000000-0010-0000-0F00-000008000000}" name="Wuxi" dataDxfId="91"/>
    <tableColumn id="9" xr3:uid="{00000000-0010-0000-0F00-000009000000}" name="Charles River" dataDxfId="90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0000000}" name="Table63" displayName="Table63" ref="A2:H20" totalsRowShown="0" headerRowDxfId="89" dataDxfId="88" tableBorderDxfId="87">
  <autoFilter ref="A2:H20" xr:uid="{00000000-0009-0000-0100-000002000000}"/>
  <tableColumns count="8">
    <tableColumn id="1" xr3:uid="{00000000-0010-0000-1000-000001000000}" name="Financial Variables" dataDxfId="86"/>
    <tableColumn id="2" xr3:uid="{00000000-0010-0000-1000-000002000000}" name="Sub Categories" dataDxfId="85"/>
    <tableColumn id="3" xr3:uid="{00000000-0010-0000-1000-000003000000}" name="Quintiles" dataDxfId="84"/>
    <tableColumn id="4" xr3:uid="{00000000-0010-0000-1000-000004000000}" name="Parexel" dataDxfId="83"/>
    <tableColumn id="5" xr3:uid="{00000000-0010-0000-1000-000005000000}" name="Covance" dataDxfId="82"/>
    <tableColumn id="6" xr3:uid="{00000000-0010-0000-1000-000006000000}" name="Icon" dataDxfId="81"/>
    <tableColumn id="8" xr3:uid="{00000000-0010-0000-1000-000008000000}" name="Wuxi" dataDxfId="80"/>
    <tableColumn id="9" xr3:uid="{00000000-0010-0000-1000-000009000000}" name="Charles River" dataDxfId="79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A51A48A-7B56-4A5B-AA65-C67661F177D2}" name="TableQ420193536373840414243" displayName="TableQ420193536373840414243" ref="A2:F5" totalsRowShown="0" dataDxfId="429" tableBorderDxfId="428">
  <autoFilter ref="A2:F5" xr:uid="{00000000-0009-0000-0100-000017000000}"/>
  <tableColumns count="6">
    <tableColumn id="1" xr3:uid="{636A6D61-CCA2-4E18-80CC-00E336DD3135}" name="Financial Variables" dataDxfId="427"/>
    <tableColumn id="3" xr3:uid="{3F531895-54B6-445A-92F7-344E545BE0C7}" name="IQVIA (Quintiles)" dataDxfId="426">
      <calculatedColumnFormula>0.647*3438000</calculatedColumnFormula>
    </tableColumn>
    <tableColumn id="6" xr3:uid="{6A083ED9-A513-4D25-9D98-7F5B3D7C34F5}" name="PRA/ICON" dataDxfId="425"/>
    <tableColumn id="8" xr3:uid="{9B2CBDC5-9215-4DE9-A651-39E8A2D27ACE}" name="Syneos (INC + inVentiv)" dataDxfId="424"/>
    <tableColumn id="5" xr3:uid="{E4DC4F69-5DF7-4BD0-9DA6-FB52269DB058}" name="Medpace" dataDxfId="423"/>
    <tableColumn id="7" xr3:uid="{128011BB-39DE-4C85-9688-C10BDE987A31}" name="TOTAL" dataDxfId="422">
      <calculatedColumnFormula>SUM(TableQ420193536373840414243[[#This Row],[IQVIA (Quintiles)]:[Medpace]])</calculatedColumnFormula>
    </tableColumn>
  </tableColumns>
  <tableStyleInfo name="TableStyleMedium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1000000}" name="Table6" displayName="Table6" ref="A2:I20" totalsRowShown="0" headerRowDxfId="78" dataDxfId="77" tableBorderDxfId="76">
  <autoFilter ref="A2:I20" xr:uid="{00000000-0009-0000-0100-000006000000}"/>
  <tableColumns count="9">
    <tableColumn id="1" xr3:uid="{00000000-0010-0000-1100-000001000000}" name="Financial Variables" dataDxfId="75"/>
    <tableColumn id="2" xr3:uid="{00000000-0010-0000-1100-000002000000}" name="Sub Categories" dataDxfId="74"/>
    <tableColumn id="3" xr3:uid="{00000000-0010-0000-1100-000003000000}" name="Quintiles" dataDxfId="73" dataCellStyle="Currency"/>
    <tableColumn id="4" xr3:uid="{00000000-0010-0000-1100-000004000000}" name="Parexel" dataDxfId="72"/>
    <tableColumn id="5" xr3:uid="{00000000-0010-0000-1100-000005000000}" name="Covance" dataDxfId="71"/>
    <tableColumn id="6" xr3:uid="{00000000-0010-0000-1100-000006000000}" name="Icon" dataDxfId="70"/>
    <tableColumn id="7" xr3:uid="{00000000-0010-0000-1100-000007000000}" name="Bioclinica" dataDxfId="69"/>
    <tableColumn id="8" xr3:uid="{00000000-0010-0000-1100-000008000000}" name="Wuxi" dataDxfId="68"/>
    <tableColumn id="9" xr3:uid="{00000000-0010-0000-1100-000009000000}" name="Charles River" dataDxfId="67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2000000}" name="Table4" displayName="Table4" ref="A2:K20" totalsRowShown="0" headerRowDxfId="66" dataDxfId="65" tableBorderDxfId="64">
  <autoFilter ref="A2:K20" xr:uid="{00000000-0009-0000-0100-000004000000}"/>
  <tableColumns count="11">
    <tableColumn id="1" xr3:uid="{00000000-0010-0000-1200-000001000000}" name="Financial Variables" dataDxfId="63"/>
    <tableColumn id="2" xr3:uid="{00000000-0010-0000-1200-000002000000}" name="Sub Categories" dataDxfId="62"/>
    <tableColumn id="3" xr3:uid="{00000000-0010-0000-1200-000003000000}" name="Quintiles" dataDxfId="61" dataCellStyle="Currency"/>
    <tableColumn id="4" xr3:uid="{00000000-0010-0000-1200-000004000000}" name="Parexel" dataDxfId="60"/>
    <tableColumn id="5" xr3:uid="{00000000-0010-0000-1200-000005000000}" name="Covance" dataDxfId="59"/>
    <tableColumn id="6" xr3:uid="{00000000-0010-0000-1200-000006000000}" name="Icon" dataDxfId="58"/>
    <tableColumn id="7" xr3:uid="{00000000-0010-0000-1200-000007000000}" name="Bioclinica" dataDxfId="57"/>
    <tableColumn id="8" xr3:uid="{00000000-0010-0000-1200-000008000000}" name="Wuxi" dataDxfId="56"/>
    <tableColumn id="9" xr3:uid="{00000000-0010-0000-1200-000009000000}" name="Charles River" dataDxfId="55"/>
    <tableColumn id="10" xr3:uid="{00000000-0010-0000-1200-00000A000000}" name="PRA" dataDxfId="54"/>
    <tableColumn id="11" xr3:uid="{00000000-0010-0000-1200-00000B000000}" name="Column1" dataDxfId="53">
      <calculatedColumnFormula>SUM(Table4[[#This Row],[Quintiles]:[PRA]])</calculatedColumnFormula>
    </tableColumn>
  </tableColumns>
  <tableStyleInfo name="TableStyleMedium15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3000000}" name="Table59" displayName="Table59" ref="A2:J21" totalsRowShown="0" dataDxfId="52">
  <autoFilter ref="A2:J21" xr:uid="{00000000-0009-0000-0100-000008000000}"/>
  <tableColumns count="10">
    <tableColumn id="1" xr3:uid="{00000000-0010-0000-1300-000001000000}" name="Financial Variables" dataDxfId="51"/>
    <tableColumn id="2" xr3:uid="{00000000-0010-0000-1300-000002000000}" name="Sub Categories" dataDxfId="50"/>
    <tableColumn id="3" xr3:uid="{00000000-0010-0000-1300-000003000000}" name="Quintiles" dataDxfId="49" dataCellStyle="Currency"/>
    <tableColumn id="4" xr3:uid="{00000000-0010-0000-1300-000004000000}" name="Parexel" dataDxfId="48"/>
    <tableColumn id="5" xr3:uid="{00000000-0010-0000-1300-000005000000}" name="Covance" dataDxfId="47"/>
    <tableColumn id="6" xr3:uid="{00000000-0010-0000-1300-000006000000}" name="Icon" dataDxfId="46"/>
    <tableColumn id="7" xr3:uid="{00000000-0010-0000-1300-000007000000}" name="Bioclinica" dataDxfId="45"/>
    <tableColumn id="8" xr3:uid="{00000000-0010-0000-1300-000008000000}" name="Wuxi" dataDxfId="44"/>
    <tableColumn id="9" xr3:uid="{00000000-0010-0000-1300-000009000000}" name="Charles River" dataDxfId="43"/>
    <tableColumn id="10" xr3:uid="{00000000-0010-0000-1300-00000A000000}" name="Column1" dataDxfId="42"/>
  </tableColumns>
  <tableStyleInfo name="TableStyleMedium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4000000}" name="Table5" displayName="Table5" ref="A2:I21" totalsRowShown="0" headerRowDxfId="41" dataDxfId="40">
  <autoFilter ref="A2:I21" xr:uid="{00000000-0009-0000-0100-000005000000}"/>
  <tableColumns count="9">
    <tableColumn id="1" xr3:uid="{00000000-0010-0000-1400-000001000000}" name="Financial Variables" dataDxfId="39"/>
    <tableColumn id="2" xr3:uid="{00000000-0010-0000-1400-000002000000}" name="Sub Categories" dataDxfId="38"/>
    <tableColumn id="3" xr3:uid="{00000000-0010-0000-1400-000003000000}" name="Quintiles" dataDxfId="37" dataCellStyle="Currency"/>
    <tableColumn id="4" xr3:uid="{00000000-0010-0000-1400-000004000000}" name="Parexel"/>
    <tableColumn id="5" xr3:uid="{00000000-0010-0000-1400-000005000000}" name="Covance" dataDxfId="36"/>
    <tableColumn id="6" xr3:uid="{00000000-0010-0000-1400-000006000000}" name="Icon" dataDxfId="35"/>
    <tableColumn id="7" xr3:uid="{00000000-0010-0000-1400-000007000000}" name="Bioclinica"/>
    <tableColumn id="8" xr3:uid="{00000000-0010-0000-1400-000008000000}" name="Wuxi" dataDxfId="34"/>
    <tableColumn id="9" xr3:uid="{00000000-0010-0000-1400-000009000000}" name="Charles River" dataDxfId="33"/>
  </tableColumns>
  <tableStyleInfo name="TableStyleMedium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5000000}" name="Table42" displayName="Table42" ref="A2:I20" totalsRowShown="0" headerRowDxfId="32" dataDxfId="30" headerRowBorderDxfId="31" tableBorderDxfId="29" totalsRowBorderDxfId="28">
  <autoFilter ref="A2:I20" xr:uid="{00000000-0009-0000-0100-000001000000}"/>
  <tableColumns count="9">
    <tableColumn id="1" xr3:uid="{00000000-0010-0000-1500-000001000000}" name="Financial Variables" dataDxfId="27"/>
    <tableColumn id="2" xr3:uid="{00000000-0010-0000-1500-000002000000}" name="Sub Categories" dataDxfId="26"/>
    <tableColumn id="3" xr3:uid="{00000000-0010-0000-1500-000003000000}" name="Quintiles" dataDxfId="25" dataCellStyle="Currency"/>
    <tableColumn id="4" xr3:uid="{00000000-0010-0000-1500-000004000000}" name="Parexel" dataDxfId="24"/>
    <tableColumn id="5" xr3:uid="{00000000-0010-0000-1500-000005000000}" name="Covance" dataDxfId="23"/>
    <tableColumn id="6" xr3:uid="{00000000-0010-0000-1500-000006000000}" name="Icon" dataDxfId="22"/>
    <tableColumn id="7" xr3:uid="{00000000-0010-0000-1500-000007000000}" name="Bioclinica" dataDxfId="21"/>
    <tableColumn id="8" xr3:uid="{00000000-0010-0000-1500-000008000000}" name="Wuxi" dataDxfId="20"/>
    <tableColumn id="9" xr3:uid="{00000000-0010-0000-1500-000009000000}" name="Charles River" dataDxfId="19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6000000}" name="Table3" displayName="Table3" ref="A2:I21" totalsRowShown="0" headerRowDxfId="18" dataDxfId="17">
  <autoFilter ref="A2:I21" xr:uid="{00000000-0009-0000-0100-000003000000}"/>
  <tableColumns count="9">
    <tableColumn id="1" xr3:uid="{00000000-0010-0000-1600-000001000000}" name="Financial Variables" dataDxfId="16"/>
    <tableColumn id="2" xr3:uid="{00000000-0010-0000-1600-000002000000}" name="Sub Categories" dataDxfId="15"/>
    <tableColumn id="3" xr3:uid="{00000000-0010-0000-1600-000003000000}" name="Quintiles" dataDxfId="14" dataCellStyle="Currency"/>
    <tableColumn id="4" xr3:uid="{00000000-0010-0000-1600-000004000000}" name="Parexel" dataDxfId="13"/>
    <tableColumn id="5" xr3:uid="{00000000-0010-0000-1600-000005000000}" name="Covance" dataDxfId="12"/>
    <tableColumn id="6" xr3:uid="{00000000-0010-0000-1600-000006000000}" name="Icon" dataDxfId="11"/>
    <tableColumn id="7" xr3:uid="{00000000-0010-0000-1600-000007000000}" name="Bioclinica" dataDxfId="10"/>
    <tableColumn id="8" xr3:uid="{00000000-0010-0000-1600-000008000000}" name="Wuxi" dataDxfId="9"/>
    <tableColumn id="9" xr3:uid="{00000000-0010-0000-1600-000009000000}" name="Charles River" dataDxfId="8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64D115E-52D9-4827-BA8D-7A5F9B6EC8B3}" name="TableQ4201935363738404142" displayName="TableQ4201935363738404142" ref="A2:F5" totalsRowShown="0" dataDxfId="421" tableBorderDxfId="420">
  <autoFilter ref="A2:F5" xr:uid="{00000000-0009-0000-0100-000017000000}"/>
  <tableColumns count="6">
    <tableColumn id="1" xr3:uid="{378D4E35-9030-4570-A528-5CECF7CC929E}" name="Financial Variables" dataDxfId="419"/>
    <tableColumn id="3" xr3:uid="{FDB4FEF7-4706-462B-8984-0420E9A977BA}" name="IQVIA (Quintiles)" dataDxfId="418">
      <calculatedColumnFormula>0.647*3438000</calculatedColumnFormula>
    </tableColumn>
    <tableColumn id="6" xr3:uid="{A893206B-59D4-43B9-A285-608EECD155D1}" name="PRA/ICON" dataDxfId="417"/>
    <tableColumn id="8" xr3:uid="{0F71BFB3-86D0-4E8B-B95C-3800F13B272E}" name="Syneos (INC + inVentiv)" dataDxfId="416"/>
    <tableColumn id="5" xr3:uid="{88D8C580-6307-4CBB-8A4C-046C51D9F1ED}" name="Medpace" dataDxfId="415"/>
    <tableColumn id="7" xr3:uid="{2BEF4584-A81C-4AB9-B9F2-98EA826D3A92}" name="TOTAL" dataDxfId="414">
      <calculatedColumnFormula>SUM(TableQ4201935363738404142[[#This Row],[IQVIA (Quintiles)]:[Medpace]])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3B59896-BFC4-4556-982E-E52EC756FC3B}" name="TableQ42019353637384041" displayName="TableQ42019353637384041" ref="A2:F5" totalsRowShown="0" dataDxfId="413" tableBorderDxfId="412">
  <autoFilter ref="A2:F5" xr:uid="{00000000-0009-0000-0100-000017000000}"/>
  <tableColumns count="6">
    <tableColumn id="1" xr3:uid="{20F237C5-E128-41F4-BEFB-A4F273776D29}" name="Financial Variables" dataDxfId="411"/>
    <tableColumn id="3" xr3:uid="{7AE2889A-1BD0-4A84-B5E5-BFD4F01DDC20}" name="IQVIA (Quintiles)" dataDxfId="410">
      <calculatedColumnFormula>0.647*3438000</calculatedColumnFormula>
    </tableColumn>
    <tableColumn id="6" xr3:uid="{BF3372F7-7D6B-4A09-B999-37E0E8696C70}" name="PRA/ICON" dataDxfId="409"/>
    <tableColumn id="8" xr3:uid="{8CEEF135-0632-435F-B21A-CD4F76DC088E}" name="Syneos (INC + inVentiv)" dataDxfId="408"/>
    <tableColumn id="5" xr3:uid="{162FD21B-715C-4F06-9F4F-D1A1A1CA9967}" name="Medpace" dataDxfId="407"/>
    <tableColumn id="7" xr3:uid="{0B90E669-91B5-4B53-BFD4-0B78A74ED0FE}" name="TOTAL" dataDxfId="406">
      <calculatedColumnFormula>SUM(TableQ42019353637384041[[#This Row],[IQVIA (Quintiles)]:[Medpace]])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609918A-1385-6E45-8429-1ACC357C3B30}" name="TableQ420193536373840" displayName="TableQ420193536373840" ref="A2:G5" totalsRowShown="0" dataDxfId="405" tableBorderDxfId="404">
  <autoFilter ref="A2:G5" xr:uid="{00000000-0009-0000-0100-000017000000}"/>
  <tableColumns count="7">
    <tableColumn id="1" xr3:uid="{A464EF46-D1B2-D940-95BC-BF123CC9C8D4}" name="Financial Variables" dataDxfId="403"/>
    <tableColumn id="3" xr3:uid="{8C2B5594-1D66-4041-A3E1-69E6DE193715}" name="IQVIA (Quintiles)" dataDxfId="402">
      <calculatedColumnFormula>0.647*3438000</calculatedColumnFormula>
    </tableColumn>
    <tableColumn id="6" xr3:uid="{0C1C3E61-6858-2040-9CD6-03F48D5C09EA}" name="Icon" dataDxfId="401"/>
    <tableColumn id="2" xr3:uid="{5CCDDC45-4A50-9040-BAFF-27E79AC2B0F0}" name="PRA Health"/>
    <tableColumn id="8" xr3:uid="{BD84EEDD-3F2D-334E-9536-E8937691AB2D}" name="Syneos (INC + inVentiv)" dataDxfId="400"/>
    <tableColumn id="5" xr3:uid="{6ADF3885-3B26-D241-9FF1-826D30EAEDE9}" name="Medpace" dataDxfId="399"/>
    <tableColumn id="7" xr3:uid="{C97EBFA4-2A70-8F49-99B9-1CF8B19DFC2D}" name="TOTAL" dataDxfId="398">
      <calculatedColumnFormula>SUM(TableQ420193536373840[[#This Row],[IQVIA (Quintiles)]:[Medpace]])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D0B99BE-A88A-4AC7-83D2-8BF202E10B52}" name="TableQ4201935363738" displayName="TableQ4201935363738" ref="A2:G5" totalsRowShown="0" dataDxfId="397" tableBorderDxfId="396">
  <autoFilter ref="A2:G5" xr:uid="{00000000-0009-0000-0100-000017000000}"/>
  <tableColumns count="7">
    <tableColumn id="1" xr3:uid="{D340C6C7-67AC-4B49-8593-358351364CEE}" name="Financial Variables" dataDxfId="395"/>
    <tableColumn id="3" xr3:uid="{992DAB04-89C9-4CFE-A7F7-A95D010C5B62}" name="IQVIA (Quintiles)" dataDxfId="394"/>
    <tableColumn id="6" xr3:uid="{E4AA2561-EA75-4D51-AD2E-DCFAF8D1846B}" name="Icon" dataDxfId="393"/>
    <tableColumn id="10" xr3:uid="{E91B6199-10FA-4D31-B657-8BCB2FA749D8}" name="PRA" dataDxfId="392"/>
    <tableColumn id="8" xr3:uid="{03A838D7-B281-431F-B24C-6357D1629AB9}" name="Syneos (INC + inVentiv)" dataDxfId="391"/>
    <tableColumn id="5" xr3:uid="{BE520558-A154-46FC-9DF4-98DBCA665930}" name="Medpace" dataDxfId="390"/>
    <tableColumn id="7" xr3:uid="{8B4CF45A-AF2F-4057-8396-4E871D961AC5}" name="TOTAL" dataDxfId="389">
      <calculatedColumnFormula>SUM(TableQ4201935363738[[#This Row],[IQVIA (Quintiles)]:[Medpace]])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201BC25-4DB5-2D49-A18B-A0D0B99B53C9}" name="TableQ420193536373839" displayName="TableQ420193536373839" ref="A2:G5" totalsRowShown="0" dataDxfId="388" tableBorderDxfId="387">
  <autoFilter ref="A2:G5" xr:uid="{00000000-0009-0000-0100-000017000000}"/>
  <tableColumns count="7">
    <tableColumn id="1" xr3:uid="{D340C6C7-67AC-4B49-8593-358351364CEE}" name="Financial Variables" dataDxfId="386"/>
    <tableColumn id="3" xr3:uid="{992DAB04-89C9-4CFE-A7F7-A95D010C5B62}" name="IQVIA (Quintiles)" dataDxfId="385"/>
    <tableColumn id="6" xr3:uid="{E4AA2561-EA75-4D51-AD2E-DCFAF8D1846B}" name="Icon" dataDxfId="384"/>
    <tableColumn id="10" xr3:uid="{E91B6199-10FA-4D31-B657-8BCB2FA749D8}" name="PRA" dataDxfId="383"/>
    <tableColumn id="8" xr3:uid="{03A838D7-B281-431F-B24C-6357D1629AB9}" name="Syneos (INC + inVentiv)" dataDxfId="382"/>
    <tableColumn id="5" xr3:uid="{BE520558-A154-46FC-9DF4-98DBCA665930}" name="Medpace" dataDxfId="381"/>
    <tableColumn id="7" xr3:uid="{8B4CF45A-AF2F-4057-8396-4E871D961AC5}" name="TOTAL" dataDxfId="380">
      <calculatedColumnFormula>SUM(TableQ420193536373839[[#This Row],[IQVIA (Quintiles)]:[Medpace]])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4E2F-BA64-4D54-AA6F-ED6B2312394D}">
  <sheetPr>
    <tabColor rgb="FF00B050"/>
  </sheetPr>
  <dimension ref="A1:F16"/>
  <sheetViews>
    <sheetView tabSelected="1" zoomScale="175" zoomScaleNormal="175" workbookViewId="0">
      <selection activeCell="E4" sqref="E4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96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3739000</v>
      </c>
      <c r="C3" s="190">
        <v>2350000</v>
      </c>
      <c r="D3" s="190">
        <v>1359900</v>
      </c>
      <c r="E3" s="190">
        <v>394100</v>
      </c>
      <c r="F3" s="36">
        <f>SUM(TableQ420193536373840414243444546[[#This Row],[IQVIA (Quintiles)]:[Medpace]])</f>
        <v>7843000</v>
      </c>
    </row>
    <row r="4" spans="1:6" x14ac:dyDescent="0.3">
      <c r="A4" s="4" t="s">
        <v>17</v>
      </c>
      <c r="B4" s="190">
        <v>27200000</v>
      </c>
      <c r="C4" s="190">
        <v>20700000</v>
      </c>
      <c r="D4" s="190">
        <v>10128600</v>
      </c>
      <c r="E4" s="190">
        <v>2339600</v>
      </c>
      <c r="F4" s="36">
        <f>SUM(TableQ420193536373840414243444546[[#This Row],[IQVIA (Quintiles)]:[Medpace]])</f>
        <v>60368200</v>
      </c>
    </row>
    <row r="5" spans="1:6" x14ac:dyDescent="0.3">
      <c r="A5" s="15" t="s">
        <v>18</v>
      </c>
      <c r="B5" s="185">
        <v>1.3</v>
      </c>
      <c r="C5" s="181">
        <v>1.2</v>
      </c>
      <c r="D5" s="151">
        <v>0.85</v>
      </c>
      <c r="E5" s="151">
        <v>1.23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6E2DA-7B7D-AE4E-AEB3-C16647F4C118}">
  <dimension ref="A1:G14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85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2133806</v>
      </c>
      <c r="C3" s="36">
        <v>1080000</v>
      </c>
      <c r="D3" s="146">
        <v>872400</v>
      </c>
      <c r="E3" s="36">
        <v>1140019</v>
      </c>
      <c r="F3" s="36">
        <v>259700</v>
      </c>
      <c r="G3" s="36">
        <f>SUM(TableQ420193536373839[[#This Row],[IQVIA (Quintiles)]:[Medpace]])</f>
        <v>5485925</v>
      </c>
    </row>
    <row r="4" spans="1:7" x14ac:dyDescent="0.3">
      <c r="A4" s="4" t="s">
        <v>17</v>
      </c>
      <c r="B4" s="13">
        <v>22600000</v>
      </c>
      <c r="C4" s="30">
        <v>9700000</v>
      </c>
      <c r="D4" s="184">
        <v>5398800</v>
      </c>
      <c r="E4" s="146">
        <v>10951000</v>
      </c>
      <c r="F4" s="2">
        <v>1500000</v>
      </c>
      <c r="G4" s="36">
        <f>SUM(TableQ420193536373839[[#This Row],[IQVIA (Quintiles)]:[Medpace]])</f>
        <v>50149800</v>
      </c>
    </row>
    <row r="5" spans="1:7" x14ac:dyDescent="0.3">
      <c r="A5" s="15" t="s">
        <v>18</v>
      </c>
      <c r="B5" s="185">
        <v>1.53</v>
      </c>
      <c r="C5" s="181">
        <v>1.42</v>
      </c>
      <c r="D5" s="186">
        <v>1.42</v>
      </c>
      <c r="E5" s="151">
        <v>1.33</v>
      </c>
      <c r="F5" s="151">
        <v>1.38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F6D2-DDB7-47EB-AEC4-393FB9C388F8}">
  <dimension ref="A1:G14"/>
  <sheetViews>
    <sheetView workbookViewId="0">
      <selection activeCell="F5" sqref="F5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84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1802500</v>
      </c>
      <c r="C3" s="36">
        <v>701700</v>
      </c>
      <c r="D3" s="146">
        <v>796300</v>
      </c>
      <c r="E3" s="36">
        <v>1099000</v>
      </c>
      <c r="F3" s="36">
        <v>230400</v>
      </c>
      <c r="G3" s="36">
        <f>SUM(TableQ42019353637[[#This Row],[IQVIA (Quintiles)]:[Medpace]])</f>
        <v>4629900</v>
      </c>
    </row>
    <row r="4" spans="1:7" x14ac:dyDescent="0.3">
      <c r="A4" s="4" t="s">
        <v>17</v>
      </c>
      <c r="B4" s="13">
        <v>21700000</v>
      </c>
      <c r="C4" s="30">
        <v>9400000</v>
      </c>
      <c r="D4" s="184">
        <v>5112400</v>
      </c>
      <c r="E4" s="146">
        <v>9200000</v>
      </c>
      <c r="F4" s="2">
        <v>1434400</v>
      </c>
      <c r="G4" s="36">
        <f>SUM(TableQ42019353637[[#This Row],[IQVIA (Quintiles)]:[Medpace]])</f>
        <v>46846800</v>
      </c>
    </row>
    <row r="5" spans="1:7" x14ac:dyDescent="0.3">
      <c r="A5" s="15" t="s">
        <v>18</v>
      </c>
      <c r="B5" s="185">
        <v>1.71</v>
      </c>
      <c r="C5" s="181">
        <v>1.41</v>
      </c>
      <c r="D5" s="186">
        <v>1.28</v>
      </c>
      <c r="E5" s="151">
        <v>1.31</v>
      </c>
      <c r="F5" s="151">
        <v>1.22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F046-51C8-4765-910A-0BBF8F556DCE}">
  <dimension ref="A1:G14"/>
  <sheetViews>
    <sheetView workbookViewId="0">
      <selection activeCell="B4" sqref="B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82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1631100</v>
      </c>
      <c r="C3" s="36">
        <v>620200</v>
      </c>
      <c r="D3" s="146">
        <v>729891</v>
      </c>
      <c r="E3" s="36">
        <v>1013400</v>
      </c>
      <c r="F3" s="36">
        <v>205000</v>
      </c>
      <c r="G3" s="36">
        <f>SUM(TableQ420193536[[#This Row],[IQVIA (Quintiles)]:[Medpace]])</f>
        <v>4199591</v>
      </c>
    </row>
    <row r="4" spans="1:7" x14ac:dyDescent="0.3">
      <c r="A4" s="4" t="s">
        <v>17</v>
      </c>
      <c r="B4" s="13">
        <v>20500000</v>
      </c>
      <c r="C4" s="30">
        <v>9100000</v>
      </c>
      <c r="D4" s="184">
        <v>4900000</v>
      </c>
      <c r="E4" s="146">
        <v>8997300</v>
      </c>
      <c r="F4" s="2">
        <v>1324800</v>
      </c>
      <c r="G4" s="36">
        <f>SUM(TableQ420193536[[#This Row],[IQVIA (Quintiles)]:[Medpace]])</f>
        <v>44822100</v>
      </c>
    </row>
    <row r="5" spans="1:7" x14ac:dyDescent="0.3">
      <c r="A5" s="15" t="s">
        <v>18</v>
      </c>
      <c r="B5" s="185">
        <v>1.64</v>
      </c>
      <c r="C5" s="181">
        <v>1.47</v>
      </c>
      <c r="D5" s="186">
        <v>1.35</v>
      </c>
      <c r="E5" s="151">
        <v>1.35</v>
      </c>
      <c r="F5" s="151">
        <v>1.24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DF84-927D-4D14-AB91-65E48141069F}">
  <dimension ref="A1:G14"/>
  <sheetViews>
    <sheetView workbookViewId="0">
      <selection activeCell="E14" sqref="E1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80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1781000</v>
      </c>
      <c r="C3" s="36">
        <v>715000</v>
      </c>
      <c r="D3" s="146">
        <v>783700</v>
      </c>
      <c r="E3" s="36">
        <v>1163400</v>
      </c>
      <c r="F3" s="36">
        <v>230900</v>
      </c>
      <c r="G3" s="36">
        <f>SUM(TableQ4201935[[#This Row],[IQVIA (Quintiles)]:[Medpace]])</f>
        <v>4674000</v>
      </c>
    </row>
    <row r="4" spans="1:7" x14ac:dyDescent="0.3">
      <c r="A4" s="4" t="s">
        <v>17</v>
      </c>
      <c r="B4" s="13">
        <v>19600000</v>
      </c>
      <c r="C4" s="30">
        <v>8700000</v>
      </c>
      <c r="D4" s="184">
        <v>4746500</v>
      </c>
      <c r="E4" s="146">
        <v>9207500</v>
      </c>
      <c r="F4" s="2">
        <v>1294200</v>
      </c>
      <c r="G4" s="36">
        <f>SUM(TableQ4201935[[#This Row],[IQVIA (Quintiles)]:[Medpace]])</f>
        <v>43548200</v>
      </c>
    </row>
    <row r="5" spans="1:7" x14ac:dyDescent="0.3">
      <c r="A5" s="15" t="s">
        <v>18</v>
      </c>
      <c r="B5" s="185">
        <v>1.42</v>
      </c>
      <c r="C5" s="181">
        <v>1.21</v>
      </c>
      <c r="D5" s="186">
        <v>1.1000000000000001</v>
      </c>
      <c r="E5" s="151">
        <v>1.21</v>
      </c>
      <c r="F5" s="151">
        <v>1.07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07C8-1F9B-45DF-BDEF-63528CE4AF5C}">
  <dimension ref="A1:G14"/>
  <sheetViews>
    <sheetView workbookViewId="0">
      <selection activeCell="B4" sqref="B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79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1873000</v>
      </c>
      <c r="C3" s="36">
        <v>725000</v>
      </c>
      <c r="D3" s="146">
        <v>800000</v>
      </c>
      <c r="E3" s="36">
        <v>1213000</v>
      </c>
      <c r="F3" s="36">
        <v>229900</v>
      </c>
      <c r="G3" s="36">
        <f>SUM(TableQ42019[[#This Row],[IQVIA (Quintiles)]:[Medpace]])</f>
        <v>4840900</v>
      </c>
    </row>
    <row r="4" spans="1:7" x14ac:dyDescent="0.3">
      <c r="A4" s="4" t="s">
        <v>17</v>
      </c>
      <c r="B4" s="13">
        <v>19000000</v>
      </c>
      <c r="C4" s="30">
        <v>8600000</v>
      </c>
      <c r="D4" s="184">
        <v>4709000</v>
      </c>
      <c r="E4" s="146">
        <v>7781000</v>
      </c>
      <c r="F4" s="2">
        <v>1283200</v>
      </c>
      <c r="G4" s="36">
        <f>SUM(TableQ42019[[#This Row],[IQVIA (Quintiles)]:[Medpace]])</f>
        <v>41373200</v>
      </c>
    </row>
    <row r="5" spans="1:7" x14ac:dyDescent="0.3">
      <c r="A5" s="15" t="s">
        <v>18</v>
      </c>
      <c r="B5" s="185">
        <v>1.46</v>
      </c>
      <c r="C5" s="181">
        <v>1.28</v>
      </c>
      <c r="D5" s="186">
        <v>1.21</v>
      </c>
      <c r="E5" s="151">
        <v>1.21</v>
      </c>
      <c r="F5" s="151">
        <v>1.22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1A5B-3D43-45C5-AC3C-D82897DFEDDD}">
  <dimension ref="A1:G14"/>
  <sheetViews>
    <sheetView workbookViewId="0">
      <selection activeCell="G3" sqref="G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78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1791543</v>
      </c>
      <c r="C3" s="36">
        <v>710400</v>
      </c>
      <c r="D3" s="146">
        <v>780700</v>
      </c>
      <c r="E3" s="36">
        <v>1177000</v>
      </c>
      <c r="F3" s="36">
        <v>216200</v>
      </c>
      <c r="G3" s="36">
        <f>SUM(TableQ2201933[[#This Row],[IQVIA (Quintiles)]:[Medpace]])</f>
        <v>4675843</v>
      </c>
    </row>
    <row r="4" spans="1:7" x14ac:dyDescent="0.3">
      <c r="A4" s="4" t="s">
        <v>17</v>
      </c>
      <c r="B4" s="13">
        <v>18300000</v>
      </c>
      <c r="C4" s="30">
        <v>8400000</v>
      </c>
      <c r="D4" s="184">
        <v>4600000</v>
      </c>
      <c r="E4" s="146">
        <v>8379300</v>
      </c>
      <c r="F4" s="2">
        <v>1228700</v>
      </c>
      <c r="G4" s="36">
        <f>SUM(TableQ2201933[[#This Row],[IQVIA (Quintiles)]:[Medpace]])</f>
        <v>40908000</v>
      </c>
    </row>
    <row r="5" spans="1:7" x14ac:dyDescent="0.3">
      <c r="A5" s="15" t="s">
        <v>18</v>
      </c>
      <c r="B5" s="185">
        <v>1.31</v>
      </c>
      <c r="C5" s="181">
        <v>1.31</v>
      </c>
      <c r="D5" s="186">
        <v>1.22</v>
      </c>
      <c r="E5" s="151">
        <v>1.1200000000000001</v>
      </c>
      <c r="F5" s="151">
        <v>1.32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ignoredErrors>
    <ignoredError sqref="G3:G4" calculatedColumn="1"/>
  </ignoredErrors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0BCC-6907-4C0C-866A-CE78E4D706C2}">
  <dimension ref="A1:G14"/>
  <sheetViews>
    <sheetView workbookViewId="0">
      <selection activeCell="B4" sqref="B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77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1772780</v>
      </c>
      <c r="C3" s="36">
        <v>695137</v>
      </c>
      <c r="D3" s="146">
        <v>763309</v>
      </c>
      <c r="E3" s="36">
        <v>1166800</v>
      </c>
      <c r="F3" s="36">
        <v>214100</v>
      </c>
      <c r="G3" s="36">
        <f>SUM(TableQ22019[[#This Row],[IQVIA (Quintiles)]:[Medpace]])</f>
        <v>4612126</v>
      </c>
    </row>
    <row r="4" spans="1:7" x14ac:dyDescent="0.3">
      <c r="A4" s="4" t="s">
        <v>17</v>
      </c>
      <c r="B4" s="13">
        <v>18030000</v>
      </c>
      <c r="C4" s="30">
        <v>8200000</v>
      </c>
      <c r="D4" s="184">
        <v>4500000</v>
      </c>
      <c r="E4" s="146">
        <v>8455300</v>
      </c>
      <c r="F4" s="2">
        <v>1200000</v>
      </c>
      <c r="G4" s="36">
        <f>SUM(TableQ22019[[#This Row],[IQVIA (Quintiles)]:[Medpace]])</f>
        <v>40385300</v>
      </c>
    </row>
    <row r="5" spans="1:7" x14ac:dyDescent="0.3">
      <c r="A5" s="15" t="s">
        <v>18</v>
      </c>
      <c r="B5" s="185">
        <v>1.35</v>
      </c>
      <c r="C5" s="181">
        <v>1.3</v>
      </c>
      <c r="D5" s="186">
        <v>1.24</v>
      </c>
      <c r="E5" s="151">
        <v>1.1599999999999999</v>
      </c>
      <c r="F5" s="151">
        <v>1.3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ignoredErrors>
    <ignoredError sqref="G3:G4" calculatedColumn="1"/>
  </ignoredErrors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D94B6-DA7A-4AD7-8AAF-4ED409BADAD3}">
  <dimension ref="A1:G10"/>
  <sheetViews>
    <sheetView workbookViewId="0">
      <selection activeCell="D8" sqref="D8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76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1736000</v>
      </c>
      <c r="C3" s="36">
        <v>674852</v>
      </c>
      <c r="D3" s="146">
        <v>722022</v>
      </c>
      <c r="E3" s="36">
        <v>1119006</v>
      </c>
      <c r="F3" s="36">
        <v>200741</v>
      </c>
      <c r="G3" s="36">
        <f>SUM(TableQ12019[[#This Row],[IQVIA (Quintiles)]:[Medpace]])</f>
        <v>4452621</v>
      </c>
    </row>
    <row r="4" spans="1:7" x14ac:dyDescent="0.3">
      <c r="A4" s="4" t="s">
        <v>17</v>
      </c>
      <c r="B4" s="13">
        <v>17190000</v>
      </c>
      <c r="C4" s="30">
        <v>7900000</v>
      </c>
      <c r="D4" s="184">
        <v>4357000</v>
      </c>
      <c r="E4" s="146">
        <v>8300000</v>
      </c>
      <c r="F4" s="2">
        <v>1100000</v>
      </c>
      <c r="G4" s="36">
        <f>SUM(TableQ12019[[#This Row],[IQVIA (Quintiles)]:[Medpace]])</f>
        <v>38847000</v>
      </c>
    </row>
    <row r="5" spans="1:7" x14ac:dyDescent="0.3">
      <c r="A5" s="15" t="s">
        <v>18</v>
      </c>
      <c r="B5" s="185">
        <v>1.5</v>
      </c>
      <c r="C5" s="181">
        <v>1.31</v>
      </c>
      <c r="D5" s="183">
        <v>1.27</v>
      </c>
      <c r="E5">
        <v>1.24</v>
      </c>
      <c r="F5">
        <v>1.24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</sheetData>
  <pageMargins left="0.7" right="0.7" top="0.75" bottom="0.75" header="0.3" footer="0.3"/>
  <ignoredErrors>
    <ignoredError sqref="G3:G4" calculatedColumn="1"/>
  </ignoredErrors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08A5-880F-CF4D-906B-D218C1E64BA5}">
  <dimension ref="A1:G10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74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1739000</v>
      </c>
      <c r="C3" s="36">
        <v>679025</v>
      </c>
      <c r="D3" s="146">
        <v>729648</v>
      </c>
      <c r="E3" s="36">
        <v>1145472</v>
      </c>
      <c r="F3" s="36">
        <v>192115</v>
      </c>
      <c r="G3" s="128">
        <f>SUM(Table638101112131415161718192021222324252627282930[[#This Row],[IQVIA (Quintiles)]:[Medpace]])</f>
        <v>4485260</v>
      </c>
    </row>
    <row r="4" spans="1:7" x14ac:dyDescent="0.3">
      <c r="A4" s="4" t="s">
        <v>17</v>
      </c>
      <c r="B4" s="30">
        <v>17100000</v>
      </c>
      <c r="C4" s="30">
        <v>5400000</v>
      </c>
      <c r="D4" s="182">
        <v>4200000</v>
      </c>
      <c r="E4" s="146">
        <v>4320000</v>
      </c>
      <c r="F4" s="2">
        <v>704600</v>
      </c>
      <c r="G4" s="128">
        <f>SUM(Table638101112131415161718192021222324252627282930[[#This Row],[IQVIA (Quintiles)]:[Medpace]])</f>
        <v>31724600</v>
      </c>
    </row>
    <row r="5" spans="1:7" x14ac:dyDescent="0.3">
      <c r="A5" s="15" t="s">
        <v>18</v>
      </c>
      <c r="B5" s="16">
        <v>1.7</v>
      </c>
      <c r="C5" s="181">
        <v>1.27</v>
      </c>
      <c r="D5" s="183">
        <v>1.3</v>
      </c>
      <c r="E5">
        <v>1.22</v>
      </c>
      <c r="F5">
        <v>1.2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0D36-BB83-A945-8A46-4100A5D6F06A}">
  <dimension ref="A1:G10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3.109375" bestFit="1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73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36">
        <v>1678300</v>
      </c>
      <c r="C3" s="36">
        <v>655017</v>
      </c>
      <c r="D3" s="158">
        <v>717596</v>
      </c>
      <c r="E3" s="36">
        <v>1114918</v>
      </c>
      <c r="F3" s="36">
        <v>170144</v>
      </c>
      <c r="G3" s="128">
        <f>SUM(Table6381011121314151617181920212223242526272829[[#This Row],[IQVIA (Quintiles)]:[Medpace]])</f>
        <v>4335975</v>
      </c>
    </row>
    <row r="4" spans="1:7" x14ac:dyDescent="0.3">
      <c r="A4" s="4" t="s">
        <v>17</v>
      </c>
      <c r="B4" s="180">
        <v>16400000</v>
      </c>
      <c r="C4" s="30">
        <v>5300000</v>
      </c>
      <c r="D4" s="33">
        <v>4100000</v>
      </c>
      <c r="E4" s="2">
        <v>4220000</v>
      </c>
      <c r="F4" s="2">
        <v>608700</v>
      </c>
      <c r="G4" s="128">
        <f>SUM(Table6381011121314151617181920212223242526272829[[#This Row],[IQVIA (Quintiles)]:[Medpace]])</f>
        <v>30628700</v>
      </c>
    </row>
    <row r="5" spans="1:7" x14ac:dyDescent="0.3">
      <c r="A5" s="15" t="s">
        <v>18</v>
      </c>
      <c r="B5" s="35">
        <v>1.69</v>
      </c>
      <c r="C5" s="181">
        <v>1.27</v>
      </c>
      <c r="D5">
        <v>1.28</v>
      </c>
      <c r="E5">
        <v>1.17</v>
      </c>
      <c r="F5">
        <v>1.21</v>
      </c>
      <c r="G5" s="140"/>
    </row>
    <row r="7" spans="1:7" x14ac:dyDescent="0.3">
      <c r="B7" s="2"/>
    </row>
    <row r="9" spans="1:7" x14ac:dyDescent="0.3">
      <c r="A9" t="s">
        <v>62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E6C50-2155-4EA7-A8DD-6ED6EF570001}">
  <sheetPr>
    <tabColor rgb="FF00B050"/>
  </sheetPr>
  <dimension ref="A1:F16"/>
  <sheetViews>
    <sheetView zoomScale="120" zoomScaleNormal="120" workbookViewId="0">
      <selection activeCell="D15" sqref="D15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95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3562000</v>
      </c>
      <c r="C3" s="190">
        <v>1942400</v>
      </c>
      <c r="D3" s="190">
        <v>1336200</v>
      </c>
      <c r="E3" s="190">
        <v>383700</v>
      </c>
      <c r="F3" s="36">
        <f>SUM(TableQ4201935363738404142434445[[#This Row],[IQVIA (Quintiles)]:[Medpace]])</f>
        <v>7224300</v>
      </c>
    </row>
    <row r="4" spans="1:6" x14ac:dyDescent="0.3">
      <c r="A4" s="4" t="s">
        <v>17</v>
      </c>
      <c r="B4" s="190">
        <v>25800000</v>
      </c>
      <c r="C4" s="190">
        <v>20200000</v>
      </c>
      <c r="D4" s="190">
        <v>10530700</v>
      </c>
      <c r="E4" s="190">
        <v>2200000</v>
      </c>
      <c r="F4" s="36">
        <f>SUM(TableQ4201935363738404142434445[[#This Row],[IQVIA (Quintiles)]:[Medpace]])</f>
        <v>58730700</v>
      </c>
    </row>
    <row r="5" spans="1:6" x14ac:dyDescent="0.3">
      <c r="A5" s="15" t="s">
        <v>18</v>
      </c>
      <c r="B5" s="185">
        <v>1.39</v>
      </c>
      <c r="C5" s="181">
        <v>1.21</v>
      </c>
      <c r="D5" s="151">
        <v>1.01</v>
      </c>
      <c r="E5" s="151">
        <v>1.23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9B21-D62A-6345-AA98-16116BC47E37}">
  <dimension ref="A1:G10"/>
  <sheetViews>
    <sheetView workbookViewId="0">
      <selection activeCell="G3" sqref="G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3.109375" bestFit="1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72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36">
        <v>1660800</v>
      </c>
      <c r="C3" s="36">
        <v>641610</v>
      </c>
      <c r="D3" s="158">
        <v>712339</v>
      </c>
      <c r="E3" s="36">
        <v>1072530</v>
      </c>
      <c r="F3" s="36">
        <v>170144</v>
      </c>
      <c r="G3" s="128">
        <f>SUM(Table63810111213141516171819202122232425262728[[#This Row],[IQVIA (Quintiles)]:[Medpace]])</f>
        <v>4257423</v>
      </c>
    </row>
    <row r="4" spans="1:7" x14ac:dyDescent="0.3">
      <c r="A4" s="4" t="s">
        <v>17</v>
      </c>
      <c r="B4" s="180">
        <v>15073000</v>
      </c>
      <c r="C4" s="30">
        <v>5002000</v>
      </c>
      <c r="D4" s="33">
        <v>3900000</v>
      </c>
      <c r="E4" s="2">
        <v>4009000</v>
      </c>
      <c r="F4" s="2">
        <v>583600</v>
      </c>
      <c r="G4" s="128">
        <f>SUM(Table63810111213141516171819202122232425262728[[#This Row],[IQVIA (Quintiles)]:[Medpace]])</f>
        <v>28567600</v>
      </c>
    </row>
    <row r="5" spans="1:7" x14ac:dyDescent="0.3">
      <c r="A5" s="15" t="s">
        <v>18</v>
      </c>
      <c r="B5" s="35">
        <v>1.27</v>
      </c>
      <c r="C5" s="181">
        <v>1.27</v>
      </c>
      <c r="D5">
        <v>1.3</v>
      </c>
      <c r="E5">
        <v>1.32</v>
      </c>
      <c r="F5">
        <v>1.32</v>
      </c>
      <c r="G5" s="140"/>
    </row>
    <row r="7" spans="1:7" x14ac:dyDescent="0.3">
      <c r="B7" s="2"/>
    </row>
    <row r="9" spans="1:7" x14ac:dyDescent="0.3">
      <c r="A9" t="s">
        <v>62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2682-706B-CF47-8562-30CD5858FB76}">
  <dimension ref="A1:G10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3.109375" bestFit="1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70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36">
        <v>1658261</v>
      </c>
      <c r="C3" s="36">
        <v>620125</v>
      </c>
      <c r="D3" s="158">
        <v>701837</v>
      </c>
      <c r="E3" s="36">
        <v>1057196</v>
      </c>
      <c r="F3" s="36">
        <v>163100</v>
      </c>
      <c r="G3" s="128">
        <f>SUM(Table638101112131415161718192021222324252627[[#This Row],[IQVIA (Quintiles)]:[Medpace]])</f>
        <v>4200519</v>
      </c>
    </row>
    <row r="4" spans="1:7" x14ac:dyDescent="0.3">
      <c r="A4" s="4" t="s">
        <v>17</v>
      </c>
      <c r="B4" s="180">
        <v>15160000</v>
      </c>
      <c r="C4" s="30">
        <v>5053000</v>
      </c>
      <c r="D4" s="33">
        <v>3800000</v>
      </c>
      <c r="E4" s="2">
        <v>3810000</v>
      </c>
      <c r="F4" s="2">
        <v>547300</v>
      </c>
      <c r="G4" s="128">
        <f>SUM(Table638101112131415161718192021222324252627[[#This Row],[IQVIA (Quintiles)]:[Medpace]])</f>
        <v>28370300</v>
      </c>
    </row>
    <row r="5" spans="1:7" x14ac:dyDescent="0.3">
      <c r="A5" s="15" t="s">
        <v>18</v>
      </c>
      <c r="B5" s="35">
        <v>1.24</v>
      </c>
      <c r="C5" s="181">
        <v>1.28</v>
      </c>
      <c r="D5">
        <v>1.29</v>
      </c>
      <c r="E5">
        <v>1.21</v>
      </c>
      <c r="F5">
        <v>1.18</v>
      </c>
      <c r="G5" s="140"/>
    </row>
    <row r="7" spans="1:7" x14ac:dyDescent="0.3">
      <c r="B7" s="2"/>
    </row>
    <row r="9" spans="1:7" x14ac:dyDescent="0.3">
      <c r="A9" t="s">
        <v>62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B39C-F527-1A4A-B537-87F1D35FD439}">
  <dimension ref="A1:H25"/>
  <sheetViews>
    <sheetView workbookViewId="0">
      <selection activeCell="C3" sqref="C3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5.77734375" customWidth="1"/>
    <col min="5" max="5" width="18.33203125" customWidth="1"/>
    <col min="6" max="6" width="13.109375" bestFit="1" customWidth="1"/>
    <col min="7" max="7" width="13.109375" customWidth="1"/>
    <col min="8" max="8" width="19.6640625" bestFit="1" customWidth="1"/>
  </cols>
  <sheetData>
    <row r="1" spans="1:8" ht="19.8" x14ac:dyDescent="0.4">
      <c r="A1" s="32" t="s">
        <v>67</v>
      </c>
      <c r="B1" s="1"/>
    </row>
    <row r="2" spans="1:8" x14ac:dyDescent="0.3">
      <c r="A2" s="1" t="s">
        <v>29</v>
      </c>
      <c r="B2" s="1" t="s">
        <v>28</v>
      </c>
      <c r="C2" t="s">
        <v>68</v>
      </c>
      <c r="D2" t="s">
        <v>8</v>
      </c>
      <c r="E2" t="s">
        <v>33</v>
      </c>
      <c r="F2" t="s">
        <v>69</v>
      </c>
      <c r="G2" t="s">
        <v>60</v>
      </c>
      <c r="H2" t="s">
        <v>45</v>
      </c>
    </row>
    <row r="3" spans="1:8" x14ac:dyDescent="0.3">
      <c r="A3" s="4" t="s">
        <v>14</v>
      </c>
      <c r="B3" s="4"/>
      <c r="C3" s="36">
        <f>SUM(C4:C6)*0.647</f>
        <v>1667319</v>
      </c>
      <c r="D3" s="36">
        <f>SUM(D4:D6)</f>
        <v>636305</v>
      </c>
      <c r="E3" s="158">
        <f t="shared" ref="E3" si="0">SUM(E4:E6)</f>
        <v>655896</v>
      </c>
      <c r="F3" s="36">
        <f>SUM(F4:F6)</f>
        <v>1076683</v>
      </c>
      <c r="G3" s="36">
        <f>SUM(G4:G6)</f>
        <v>112682</v>
      </c>
      <c r="H3" s="36">
        <f>SUM(Table6381011121314151617181920212223242526[[#This Row],[IQVIA (Quintiles)]:[Medpace]])</f>
        <v>4148885</v>
      </c>
    </row>
    <row r="4" spans="1:8" x14ac:dyDescent="0.3">
      <c r="A4" s="1"/>
      <c r="B4" s="1" t="s">
        <v>5</v>
      </c>
      <c r="C4" s="167">
        <v>2161000</v>
      </c>
      <c r="D4" s="158">
        <v>455139</v>
      </c>
      <c r="E4" s="167">
        <v>568802</v>
      </c>
      <c r="F4" s="167">
        <v>750471</v>
      </c>
      <c r="G4" s="167">
        <v>99448</v>
      </c>
      <c r="H4" s="36"/>
    </row>
    <row r="5" spans="1:8" x14ac:dyDescent="0.3">
      <c r="A5" s="1"/>
      <c r="B5" s="1" t="s">
        <v>6</v>
      </c>
      <c r="C5" s="167">
        <v>416000</v>
      </c>
      <c r="D5" s="158">
        <v>181166</v>
      </c>
      <c r="E5" s="167">
        <v>87094</v>
      </c>
      <c r="F5" s="167">
        <v>326212</v>
      </c>
      <c r="G5" s="167">
        <v>13234</v>
      </c>
      <c r="H5" s="36"/>
    </row>
    <row r="6" spans="1:8" x14ac:dyDescent="0.3">
      <c r="A6" s="4"/>
      <c r="B6" s="4" t="s">
        <v>32</v>
      </c>
      <c r="C6" s="158"/>
      <c r="D6" s="36"/>
      <c r="E6" s="158"/>
      <c r="F6" s="158"/>
      <c r="G6" s="158"/>
      <c r="H6" s="36"/>
    </row>
    <row r="7" spans="1:8" x14ac:dyDescent="0.3">
      <c r="A7" s="4" t="s">
        <v>19</v>
      </c>
      <c r="B7" s="4"/>
      <c r="C7" s="158">
        <f>C4</f>
        <v>2161000</v>
      </c>
      <c r="D7" s="158">
        <v>455139</v>
      </c>
      <c r="E7" s="158">
        <f>E4</f>
        <v>568802</v>
      </c>
      <c r="F7" s="158">
        <f>F4</f>
        <v>750471</v>
      </c>
      <c r="G7" s="158">
        <f>G4</f>
        <v>99448</v>
      </c>
      <c r="H7" s="36"/>
    </row>
    <row r="8" spans="1:8" x14ac:dyDescent="0.3">
      <c r="A8" s="4" t="s">
        <v>11</v>
      </c>
      <c r="B8" s="4"/>
      <c r="C8" s="168">
        <f>SUM(C9:C12)</f>
        <v>2349000</v>
      </c>
      <c r="D8" s="168">
        <f>SUM(D9:D13)</f>
        <v>546561</v>
      </c>
      <c r="E8" s="158">
        <f t="shared" ref="E8" si="1">SUM(E9:E13)</f>
        <v>652283</v>
      </c>
      <c r="F8" s="168">
        <f>SUM(F9:F13)</f>
        <v>1061663</v>
      </c>
      <c r="G8" s="168">
        <f>SUM(G9:G13)</f>
        <v>97245</v>
      </c>
      <c r="H8" s="36"/>
    </row>
    <row r="9" spans="1:8" x14ac:dyDescent="0.3">
      <c r="A9" s="1"/>
      <c r="B9" s="1" t="s">
        <v>7</v>
      </c>
      <c r="C9" s="167">
        <v>1191000</v>
      </c>
      <c r="D9" s="79">
        <v>267135</v>
      </c>
      <c r="E9" s="167">
        <v>368880</v>
      </c>
      <c r="F9" s="167">
        <v>509380</v>
      </c>
      <c r="G9" s="167">
        <v>55569</v>
      </c>
      <c r="H9" s="36"/>
    </row>
    <row r="10" spans="1:8" x14ac:dyDescent="0.3">
      <c r="A10" s="1"/>
      <c r="B10" s="1" t="s">
        <v>20</v>
      </c>
      <c r="C10" s="177">
        <v>416000</v>
      </c>
      <c r="D10" s="177">
        <v>181166</v>
      </c>
      <c r="E10" s="179">
        <v>87094</v>
      </c>
      <c r="F10" s="177">
        <v>326212</v>
      </c>
      <c r="G10" s="177">
        <v>13234</v>
      </c>
      <c r="H10" s="36"/>
    </row>
    <row r="11" spans="1:8" x14ac:dyDescent="0.3">
      <c r="A11" s="1"/>
      <c r="B11" s="1" t="s">
        <v>12</v>
      </c>
      <c r="C11" s="177">
        <v>464000</v>
      </c>
      <c r="D11" s="178">
        <v>82086</v>
      </c>
      <c r="E11" s="179">
        <v>92217</v>
      </c>
      <c r="F11" s="177">
        <v>106300</v>
      </c>
      <c r="G11" s="177">
        <v>16842</v>
      </c>
      <c r="H11" s="36"/>
    </row>
    <row r="12" spans="1:8" x14ac:dyDescent="0.3">
      <c r="A12" s="1"/>
      <c r="B12" s="1" t="s">
        <v>13</v>
      </c>
      <c r="C12" s="177">
        <v>278000</v>
      </c>
      <c r="D12" s="178">
        <v>16174</v>
      </c>
      <c r="E12" s="179">
        <v>75893</v>
      </c>
      <c r="F12" s="177">
        <v>20689</v>
      </c>
      <c r="G12" s="177">
        <v>2106</v>
      </c>
      <c r="H12" s="36"/>
    </row>
    <row r="13" spans="1:8" x14ac:dyDescent="0.3">
      <c r="A13" s="1"/>
      <c r="B13" s="1" t="s">
        <v>10</v>
      </c>
      <c r="C13" s="29">
        <v>25000</v>
      </c>
      <c r="D13" s="79"/>
      <c r="E13" s="170">
        <v>28199</v>
      </c>
      <c r="F13" s="158">
        <v>99082</v>
      </c>
      <c r="G13" s="158">
        <v>9494</v>
      </c>
      <c r="H13" s="36"/>
    </row>
    <row r="14" spans="1:8" x14ac:dyDescent="0.3">
      <c r="A14" s="4" t="s">
        <v>24</v>
      </c>
      <c r="B14" s="4"/>
      <c r="C14" s="36">
        <f>C3-C6-C8</f>
        <v>-681681</v>
      </c>
      <c r="D14" s="36">
        <f t="shared" ref="D14:E14" si="2">D3-D6-D8</f>
        <v>89744</v>
      </c>
      <c r="E14" s="158">
        <f t="shared" si="2"/>
        <v>3613</v>
      </c>
      <c r="F14" s="36">
        <f>F3-F6-F8</f>
        <v>15020</v>
      </c>
      <c r="G14" s="36">
        <f>G3-G6-G8</f>
        <v>15437</v>
      </c>
      <c r="H14" s="36"/>
    </row>
    <row r="15" spans="1:8" x14ac:dyDescent="0.3">
      <c r="A15" s="18"/>
      <c r="B15" s="18" t="s">
        <v>16</v>
      </c>
      <c r="C15" s="41">
        <f>C14/C4</f>
        <v>-0.31544701527070801</v>
      </c>
      <c r="D15" s="41">
        <f>D14/D4</f>
        <v>0.19717932323971357</v>
      </c>
      <c r="E15" s="171">
        <f t="shared" ref="E15" si="3">E14/E4</f>
        <v>6.3519467231127882E-3</v>
      </c>
      <c r="F15" s="41">
        <f>F14/F4</f>
        <v>2.0014097813239953E-2</v>
      </c>
      <c r="G15" s="41">
        <f>G14/G4</f>
        <v>0.15522685222427801</v>
      </c>
      <c r="H15" s="36"/>
    </row>
    <row r="16" spans="1:8" x14ac:dyDescent="0.3">
      <c r="A16" s="4" t="s">
        <v>26</v>
      </c>
      <c r="B16" s="4"/>
      <c r="C16" s="163">
        <v>1076000</v>
      </c>
      <c r="D16" s="163">
        <v>71108</v>
      </c>
      <c r="E16" s="36">
        <v>-16195</v>
      </c>
      <c r="F16" s="2">
        <v>-15047</v>
      </c>
      <c r="G16" s="2">
        <v>11291</v>
      </c>
      <c r="H16" s="163"/>
    </row>
    <row r="17" spans="1:8" x14ac:dyDescent="0.3">
      <c r="A17" s="4" t="s">
        <v>15</v>
      </c>
      <c r="B17" s="4"/>
      <c r="C17" s="29"/>
      <c r="D17" s="172"/>
      <c r="E17" s="2"/>
      <c r="F17" s="173"/>
      <c r="G17" s="173"/>
      <c r="H17" s="128"/>
    </row>
    <row r="18" spans="1:8" x14ac:dyDescent="0.3">
      <c r="A18" s="52"/>
      <c r="B18" s="52" t="s">
        <v>16</v>
      </c>
      <c r="C18" s="174"/>
      <c r="D18" s="174"/>
      <c r="E18" s="34"/>
      <c r="F18" s="175"/>
      <c r="G18" s="175"/>
      <c r="H18" s="128"/>
    </row>
    <row r="19" spans="1:8" x14ac:dyDescent="0.3">
      <c r="A19" s="4" t="s">
        <v>17</v>
      </c>
      <c r="B19" s="4"/>
      <c r="C19" s="180">
        <v>10540000</v>
      </c>
      <c r="D19" s="30">
        <v>4930000</v>
      </c>
      <c r="E19" s="33">
        <v>3500000</v>
      </c>
      <c r="F19" s="2">
        <v>3800000</v>
      </c>
      <c r="G19" s="2">
        <v>524400</v>
      </c>
      <c r="H19" s="128">
        <f>SUM(Table6381011121314151617181920212223242526[[#This Row],[IQVIA (Quintiles)]:[Medpace]])</f>
        <v>23294400</v>
      </c>
    </row>
    <row r="20" spans="1:8" x14ac:dyDescent="0.3">
      <c r="A20" s="15" t="s">
        <v>18</v>
      </c>
      <c r="B20" s="15"/>
      <c r="C20" s="35">
        <v>1.24</v>
      </c>
      <c r="D20" s="181">
        <v>1.58</v>
      </c>
      <c r="E20">
        <v>1.3</v>
      </c>
      <c r="F20">
        <v>1.1599999999999999</v>
      </c>
      <c r="G20">
        <v>1.1499999999999999</v>
      </c>
      <c r="H20" s="140"/>
    </row>
    <row r="22" spans="1:8" x14ac:dyDescent="0.3">
      <c r="C22" s="2"/>
    </row>
    <row r="24" spans="1:8" x14ac:dyDescent="0.3">
      <c r="A24" t="s">
        <v>62</v>
      </c>
    </row>
    <row r="25" spans="1:8" x14ac:dyDescent="0.3">
      <c r="A25" t="s">
        <v>65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120A-BE2F-E344-8185-4BE3CF26C034}">
  <dimension ref="A1:H25"/>
  <sheetViews>
    <sheetView workbookViewId="0">
      <selection activeCell="C14" sqref="C14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5.77734375" customWidth="1"/>
    <col min="5" max="5" width="18.33203125" customWidth="1"/>
    <col min="6" max="6" width="13.109375" bestFit="1" customWidth="1"/>
    <col min="7" max="7" width="13.109375" customWidth="1"/>
    <col min="8" max="8" width="19.6640625" bestFit="1" customWidth="1"/>
  </cols>
  <sheetData>
    <row r="1" spans="1:8" ht="19.8" x14ac:dyDescent="0.4">
      <c r="A1" s="32" t="s">
        <v>66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8</v>
      </c>
      <c r="E2" t="s">
        <v>33</v>
      </c>
      <c r="F2" t="s">
        <v>49</v>
      </c>
      <c r="G2" t="s">
        <v>60</v>
      </c>
      <c r="H2" t="s">
        <v>45</v>
      </c>
    </row>
    <row r="3" spans="1:8" x14ac:dyDescent="0.3">
      <c r="A3" s="4" t="s">
        <v>14</v>
      </c>
      <c r="B3" s="4"/>
      <c r="C3" s="36">
        <f>SUM(C4:C6)*0.647</f>
        <v>1594855</v>
      </c>
      <c r="D3" s="36">
        <f>SUM(D4:D6)</f>
        <v>596169</v>
      </c>
      <c r="E3" s="158">
        <f t="shared" ref="E3" si="0">SUM(E4:E6)</f>
        <v>582009</v>
      </c>
      <c r="F3" s="36">
        <f>SUM(F4:F6)</f>
        <v>822328</v>
      </c>
      <c r="G3" s="36">
        <f>SUM(G4:G6)</f>
        <v>110643</v>
      </c>
      <c r="H3" s="36">
        <f>SUM(Table63810111213141516171819202122232425[[#This Row],[Quintiles]:[Medpace]])</f>
        <v>3706004</v>
      </c>
    </row>
    <row r="4" spans="1:8" x14ac:dyDescent="0.3">
      <c r="A4" s="1"/>
      <c r="B4" s="1" t="s">
        <v>5</v>
      </c>
      <c r="C4" s="167">
        <v>2019000</v>
      </c>
      <c r="D4" s="158">
        <v>440323</v>
      </c>
      <c r="E4" s="167">
        <v>494550</v>
      </c>
      <c r="F4" s="167">
        <v>592207</v>
      </c>
      <c r="G4" s="167">
        <v>98681</v>
      </c>
      <c r="H4" s="36"/>
    </row>
    <row r="5" spans="1:8" x14ac:dyDescent="0.3">
      <c r="A5" s="1"/>
      <c r="B5" s="1" t="s">
        <v>6</v>
      </c>
      <c r="C5" s="167">
        <v>446000</v>
      </c>
      <c r="D5" s="158">
        <v>155846</v>
      </c>
      <c r="E5" s="167">
        <v>87459</v>
      </c>
      <c r="F5" s="167">
        <v>230121</v>
      </c>
      <c r="G5" s="167">
        <v>11962</v>
      </c>
      <c r="H5" s="36"/>
    </row>
    <row r="6" spans="1:8" x14ac:dyDescent="0.3">
      <c r="A6" s="4"/>
      <c r="B6" s="4" t="s">
        <v>32</v>
      </c>
      <c r="C6" s="158"/>
      <c r="D6" s="36"/>
      <c r="E6" s="158"/>
      <c r="F6" s="158"/>
      <c r="G6" s="158"/>
      <c r="H6" s="36"/>
    </row>
    <row r="7" spans="1:8" x14ac:dyDescent="0.3">
      <c r="A7" s="4" t="s">
        <v>19</v>
      </c>
      <c r="B7" s="4"/>
      <c r="C7" s="158">
        <f>C4</f>
        <v>2019000</v>
      </c>
      <c r="D7" s="158">
        <f>D4</f>
        <v>440323</v>
      </c>
      <c r="E7" s="158">
        <f>E4</f>
        <v>494550</v>
      </c>
      <c r="F7" s="158">
        <f>F4</f>
        <v>592207</v>
      </c>
      <c r="G7" s="158">
        <f>G4</f>
        <v>98681</v>
      </c>
      <c r="H7" s="36"/>
    </row>
    <row r="8" spans="1:8" x14ac:dyDescent="0.3">
      <c r="A8" s="4" t="s">
        <v>11</v>
      </c>
      <c r="B8" s="4"/>
      <c r="C8" s="168">
        <f>SUM(C9:C12)</f>
        <v>2258000</v>
      </c>
      <c r="D8" s="168">
        <f>SUM(D9:D13)</f>
        <v>513776</v>
      </c>
      <c r="E8" s="158">
        <f t="shared" ref="E8" si="1">SUM(E9:E13)</f>
        <v>525232</v>
      </c>
      <c r="F8" s="168">
        <f>SUM(F9:F13)</f>
        <v>911216</v>
      </c>
      <c r="G8" s="168">
        <f>SUM(G9:G13)</f>
        <v>93445</v>
      </c>
      <c r="H8" s="36"/>
    </row>
    <row r="9" spans="1:8" x14ac:dyDescent="0.3">
      <c r="A9" s="1"/>
      <c r="B9" s="1" t="s">
        <v>7</v>
      </c>
      <c r="C9" s="167">
        <v>1165000</v>
      </c>
      <c r="D9" s="79">
        <v>259672</v>
      </c>
      <c r="E9" s="167">
        <v>326865</v>
      </c>
      <c r="F9" s="167">
        <v>405798</v>
      </c>
      <c r="G9" s="167">
        <v>53144</v>
      </c>
      <c r="H9" s="36"/>
    </row>
    <row r="10" spans="1:8" x14ac:dyDescent="0.3">
      <c r="A10" s="1"/>
      <c r="B10" s="1" t="s">
        <v>20</v>
      </c>
      <c r="C10" s="177">
        <v>446000</v>
      </c>
      <c r="D10" s="177">
        <v>155846</v>
      </c>
      <c r="E10" s="179">
        <v>87459</v>
      </c>
      <c r="F10" s="177">
        <v>230121</v>
      </c>
      <c r="G10" s="177">
        <v>11962</v>
      </c>
      <c r="H10" s="36"/>
    </row>
    <row r="11" spans="1:8" x14ac:dyDescent="0.3">
      <c r="A11" s="1"/>
      <c r="B11" s="1" t="s">
        <v>12</v>
      </c>
      <c r="C11" s="177">
        <v>391000</v>
      </c>
      <c r="D11" s="178">
        <v>79433</v>
      </c>
      <c r="E11" s="179">
        <v>79307</v>
      </c>
      <c r="F11" s="177">
        <v>88855</v>
      </c>
      <c r="G11" s="177">
        <v>16606</v>
      </c>
      <c r="H11" s="36"/>
    </row>
    <row r="12" spans="1:8" x14ac:dyDescent="0.3">
      <c r="A12" s="1"/>
      <c r="B12" s="1" t="s">
        <v>13</v>
      </c>
      <c r="C12" s="177">
        <v>256000</v>
      </c>
      <c r="D12" s="178">
        <v>16280</v>
      </c>
      <c r="E12" s="179">
        <v>12740</v>
      </c>
      <c r="F12" s="177">
        <v>6670</v>
      </c>
      <c r="G12" s="177">
        <v>2237</v>
      </c>
      <c r="H12" s="36"/>
    </row>
    <row r="13" spans="1:8" x14ac:dyDescent="0.3">
      <c r="A13" s="1"/>
      <c r="B13" s="1" t="s">
        <v>10</v>
      </c>
      <c r="C13" s="29">
        <v>10000</v>
      </c>
      <c r="D13" s="79">
        <v>2545</v>
      </c>
      <c r="E13" s="170">
        <v>18861</v>
      </c>
      <c r="F13" s="158">
        <v>179772</v>
      </c>
      <c r="G13" s="158">
        <v>9496</v>
      </c>
      <c r="H13" s="36"/>
    </row>
    <row r="14" spans="1:8" x14ac:dyDescent="0.3">
      <c r="A14" s="4" t="s">
        <v>24</v>
      </c>
      <c r="B14" s="4"/>
      <c r="C14" s="36">
        <f>C3-C6-C8</f>
        <v>-663145</v>
      </c>
      <c r="D14" s="36">
        <f t="shared" ref="D14:E14" si="2">D3-D6-D8</f>
        <v>82393</v>
      </c>
      <c r="E14" s="158">
        <f t="shared" si="2"/>
        <v>56777</v>
      </c>
      <c r="F14" s="36">
        <f>F3-F6-F8</f>
        <v>-88888</v>
      </c>
      <c r="G14" s="36">
        <f>G3-G6-G8</f>
        <v>17198</v>
      </c>
      <c r="H14" s="36"/>
    </row>
    <row r="15" spans="1:8" x14ac:dyDescent="0.3">
      <c r="A15" s="18"/>
      <c r="B15" s="18" t="s">
        <v>16</v>
      </c>
      <c r="C15" s="41">
        <f>C14/C4</f>
        <v>-0.32845220406141656</v>
      </c>
      <c r="D15" s="41">
        <f>D14/D4</f>
        <v>0.18711945549062847</v>
      </c>
      <c r="E15" s="171">
        <f t="shared" ref="E15" si="3">E14/E4</f>
        <v>0.11480537862703467</v>
      </c>
      <c r="F15" s="41">
        <f>F14/F4</f>
        <v>-0.15009616569881815</v>
      </c>
      <c r="G15" s="41">
        <f>G14/G4</f>
        <v>0.17427873653489526</v>
      </c>
      <c r="H15" s="36"/>
    </row>
    <row r="16" spans="1:8" x14ac:dyDescent="0.3">
      <c r="A16" s="4" t="s">
        <v>26</v>
      </c>
      <c r="B16" s="4"/>
      <c r="C16" s="165">
        <v>84000</v>
      </c>
      <c r="D16" s="163">
        <v>78508</v>
      </c>
      <c r="E16" s="33">
        <v>48606</v>
      </c>
      <c r="F16" s="2">
        <v>-147998</v>
      </c>
      <c r="G16" s="2">
        <v>9831</v>
      </c>
      <c r="H16" s="163"/>
    </row>
    <row r="17" spans="1:8" x14ac:dyDescent="0.3">
      <c r="A17" s="4" t="s">
        <v>15</v>
      </c>
      <c r="B17" s="4"/>
      <c r="C17" s="29"/>
      <c r="D17" s="172"/>
      <c r="E17" s="2"/>
      <c r="F17" s="173"/>
      <c r="G17" s="173"/>
      <c r="H17" s="128"/>
    </row>
    <row r="18" spans="1:8" x14ac:dyDescent="0.3">
      <c r="A18" s="52"/>
      <c r="B18" s="52" t="s">
        <v>16</v>
      </c>
      <c r="C18" s="174"/>
      <c r="D18" s="174"/>
      <c r="E18" s="34"/>
      <c r="F18" s="175"/>
      <c r="G18" s="175"/>
      <c r="H18" s="128"/>
    </row>
    <row r="19" spans="1:8" x14ac:dyDescent="0.3">
      <c r="A19" s="4" t="s">
        <v>17</v>
      </c>
      <c r="B19" s="4"/>
      <c r="C19" s="30">
        <v>10320000</v>
      </c>
      <c r="D19" s="180">
        <v>4780000</v>
      </c>
      <c r="E19" s="33">
        <v>3400000</v>
      </c>
      <c r="F19" s="2">
        <v>3720000</v>
      </c>
      <c r="G19" s="2">
        <v>510000</v>
      </c>
      <c r="H19" s="128">
        <f>SUM(Table63810111213141516171819202122232425[[#This Row],[Quintiles]:[Medpace]])</f>
        <v>22730000</v>
      </c>
    </row>
    <row r="20" spans="1:8" x14ac:dyDescent="0.3">
      <c r="A20" s="15" t="s">
        <v>18</v>
      </c>
      <c r="B20" s="15"/>
      <c r="C20" s="35">
        <v>1.22</v>
      </c>
      <c r="D20" s="164">
        <v>1.32</v>
      </c>
      <c r="E20">
        <v>1.26</v>
      </c>
      <c r="F20">
        <v>1.3</v>
      </c>
      <c r="G20">
        <v>1.1399999999999999</v>
      </c>
      <c r="H20" s="140"/>
    </row>
    <row r="22" spans="1:8" x14ac:dyDescent="0.3">
      <c r="C22" s="2"/>
    </row>
    <row r="24" spans="1:8" x14ac:dyDescent="0.3">
      <c r="A24" t="s">
        <v>62</v>
      </c>
    </row>
    <row r="25" spans="1:8" x14ac:dyDescent="0.3">
      <c r="A25" t="s">
        <v>65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C1" sqref="C1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5.77734375" customWidth="1"/>
    <col min="5" max="5" width="18.33203125" customWidth="1"/>
    <col min="6" max="6" width="13.109375" bestFit="1" customWidth="1"/>
    <col min="7" max="7" width="13.109375" customWidth="1"/>
    <col min="8" max="8" width="19.6640625" bestFit="1" customWidth="1"/>
  </cols>
  <sheetData>
    <row r="1" spans="1:8" ht="19.8" x14ac:dyDescent="0.4">
      <c r="A1" s="32" t="s">
        <v>64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8</v>
      </c>
      <c r="E2" t="s">
        <v>33</v>
      </c>
      <c r="F2" t="s">
        <v>49</v>
      </c>
      <c r="G2" t="s">
        <v>60</v>
      </c>
      <c r="H2" t="s">
        <v>45</v>
      </c>
    </row>
    <row r="3" spans="1:8" x14ac:dyDescent="0.3">
      <c r="A3" s="4" t="s">
        <v>14</v>
      </c>
      <c r="B3" s="4"/>
      <c r="C3" s="36">
        <f>SUM(C4:C6)*0.647</f>
        <v>1536625</v>
      </c>
      <c r="D3" s="36">
        <f>SUM(D4:D6)</f>
        <v>591781</v>
      </c>
      <c r="E3" s="158">
        <f t="shared" ref="E3" si="0">SUM(E4:E6)</f>
        <v>533724</v>
      </c>
      <c r="F3" s="36">
        <f>SUM(F4:F6)</f>
        <v>391135</v>
      </c>
      <c r="G3" s="36">
        <f>SUM(G4:G6)</f>
        <v>106216</v>
      </c>
      <c r="H3" s="36">
        <f>SUM(Table638101112131415161718192021222324[[#This Row],[Quintiles]:[Medpace]])</f>
        <v>3159481</v>
      </c>
    </row>
    <row r="4" spans="1:8" x14ac:dyDescent="0.3">
      <c r="A4" s="1"/>
      <c r="B4" s="1" t="s">
        <v>5</v>
      </c>
      <c r="C4" s="167">
        <v>1969000</v>
      </c>
      <c r="D4" s="158">
        <v>431023</v>
      </c>
      <c r="E4" s="167">
        <v>457942</v>
      </c>
      <c r="F4" s="167">
        <v>258087</v>
      </c>
      <c r="G4" s="167">
        <v>94552</v>
      </c>
      <c r="H4" s="36"/>
    </row>
    <row r="5" spans="1:8" x14ac:dyDescent="0.3">
      <c r="A5" s="1"/>
      <c r="B5" s="1" t="s">
        <v>6</v>
      </c>
      <c r="C5" s="167">
        <v>406000</v>
      </c>
      <c r="D5" s="158">
        <v>160758</v>
      </c>
      <c r="E5" s="167">
        <v>75782</v>
      </c>
      <c r="F5" s="167">
        <v>133048</v>
      </c>
      <c r="G5" s="167">
        <v>11664</v>
      </c>
      <c r="H5" s="36"/>
    </row>
    <row r="6" spans="1:8" x14ac:dyDescent="0.3">
      <c r="A6" s="4"/>
      <c r="B6" s="4" t="s">
        <v>32</v>
      </c>
      <c r="C6" s="158"/>
      <c r="D6" s="36"/>
      <c r="E6" s="158"/>
      <c r="F6" s="158"/>
      <c r="G6" s="158"/>
      <c r="H6" s="36"/>
    </row>
    <row r="7" spans="1:8" x14ac:dyDescent="0.3">
      <c r="A7" s="4" t="s">
        <v>19</v>
      </c>
      <c r="B7" s="4"/>
      <c r="C7" s="158">
        <f>C4</f>
        <v>1969000</v>
      </c>
      <c r="D7" s="168">
        <v>431023</v>
      </c>
      <c r="E7" s="158">
        <f t="shared" ref="E7" si="1">E4</f>
        <v>457942</v>
      </c>
      <c r="F7" s="158">
        <f>F4</f>
        <v>258087</v>
      </c>
      <c r="G7" s="158">
        <f>G4</f>
        <v>94552</v>
      </c>
      <c r="H7" s="36"/>
    </row>
    <row r="8" spans="1:8" x14ac:dyDescent="0.3">
      <c r="A8" s="4" t="s">
        <v>11</v>
      </c>
      <c r="B8" s="4"/>
      <c r="C8" s="168">
        <f>SUM(C9:C12)</f>
        <v>2175000</v>
      </c>
      <c r="D8" s="168">
        <f>SUM(D9:D13)</f>
        <v>513783</v>
      </c>
      <c r="E8" s="158">
        <f t="shared" ref="E8" si="2">SUM(E9:E13)</f>
        <v>468839</v>
      </c>
      <c r="F8" s="168">
        <f>SUM(F9:F13)</f>
        <v>380885</v>
      </c>
      <c r="G8" s="168">
        <f>SUM(G9:G13)</f>
        <v>89937</v>
      </c>
      <c r="H8" s="36"/>
    </row>
    <row r="9" spans="1:8" x14ac:dyDescent="0.3">
      <c r="A9" s="1"/>
      <c r="B9" s="1" t="s">
        <v>7</v>
      </c>
      <c r="C9" s="167">
        <v>1154000</v>
      </c>
      <c r="D9" s="79">
        <v>250044</v>
      </c>
      <c r="E9" s="167">
        <v>300611</v>
      </c>
      <c r="F9" s="167">
        <v>162010</v>
      </c>
      <c r="G9" s="167">
        <v>51955</v>
      </c>
      <c r="H9" s="36"/>
    </row>
    <row r="10" spans="1:8" x14ac:dyDescent="0.3">
      <c r="A10" s="1"/>
      <c r="B10" s="1" t="s">
        <v>20</v>
      </c>
      <c r="C10" s="177">
        <v>406000</v>
      </c>
      <c r="D10" s="177">
        <v>160758</v>
      </c>
      <c r="E10" s="179">
        <v>75782</v>
      </c>
      <c r="F10" s="177">
        <v>133048</v>
      </c>
      <c r="G10" s="177">
        <v>11664</v>
      </c>
      <c r="H10" s="36"/>
    </row>
    <row r="11" spans="1:8" x14ac:dyDescent="0.3">
      <c r="A11" s="1"/>
      <c r="B11" s="1" t="s">
        <v>12</v>
      </c>
      <c r="C11" s="177">
        <v>370000</v>
      </c>
      <c r="D11" s="178">
        <v>80833</v>
      </c>
      <c r="E11" s="179">
        <v>76195</v>
      </c>
      <c r="F11" s="177">
        <v>42531</v>
      </c>
      <c r="G11" s="177">
        <v>14755</v>
      </c>
      <c r="H11" s="36"/>
    </row>
    <row r="12" spans="1:8" x14ac:dyDescent="0.3">
      <c r="A12" s="1"/>
      <c r="B12" s="1" t="s">
        <v>13</v>
      </c>
      <c r="C12" s="177">
        <v>245000</v>
      </c>
      <c r="D12" s="178">
        <v>14395</v>
      </c>
      <c r="E12" s="179">
        <v>16251</v>
      </c>
      <c r="F12" s="177">
        <v>4029</v>
      </c>
      <c r="G12" s="177">
        <v>2101</v>
      </c>
      <c r="H12" s="36"/>
    </row>
    <row r="13" spans="1:8" x14ac:dyDescent="0.3">
      <c r="A13" s="1"/>
      <c r="B13" s="1" t="s">
        <v>10</v>
      </c>
      <c r="C13" s="29">
        <v>49000</v>
      </c>
      <c r="D13" s="79">
        <v>7753</v>
      </c>
      <c r="E13" s="170"/>
      <c r="F13" s="158">
        <v>39267</v>
      </c>
      <c r="G13" s="158">
        <v>9462</v>
      </c>
      <c r="H13" s="36"/>
    </row>
    <row r="14" spans="1:8" x14ac:dyDescent="0.3">
      <c r="A14" s="4" t="s">
        <v>24</v>
      </c>
      <c r="B14" s="4"/>
      <c r="C14" s="36">
        <f>C3-C6-C8</f>
        <v>-638375</v>
      </c>
      <c r="D14" s="36">
        <f t="shared" ref="D14:E14" si="3">D3-D6-D8</f>
        <v>77998</v>
      </c>
      <c r="E14" s="158">
        <f t="shared" si="3"/>
        <v>64885</v>
      </c>
      <c r="F14" s="36">
        <f>F3-F6-F8</f>
        <v>10250</v>
      </c>
      <c r="G14" s="36">
        <f>G3-G6-G8</f>
        <v>16279</v>
      </c>
      <c r="H14" s="36"/>
    </row>
    <row r="15" spans="1:8" x14ac:dyDescent="0.3">
      <c r="A15" s="18"/>
      <c r="B15" s="18" t="s">
        <v>16</v>
      </c>
      <c r="C15" s="41">
        <f>C14/C4</f>
        <v>-0.32421279837480954</v>
      </c>
      <c r="D15" s="41">
        <f>D14/D4</f>
        <v>0.18096018077921597</v>
      </c>
      <c r="E15" s="171">
        <f t="shared" ref="E15" si="4">E14/E4</f>
        <v>0.14168824873018854</v>
      </c>
      <c r="F15" s="41">
        <f>F14/F4</f>
        <v>3.9715289805375704E-2</v>
      </c>
      <c r="G15" s="41">
        <f>G14/G4</f>
        <v>0.17216981132075471</v>
      </c>
      <c r="H15" s="36"/>
    </row>
    <row r="16" spans="1:8" x14ac:dyDescent="0.3">
      <c r="A16" s="4" t="s">
        <v>26</v>
      </c>
      <c r="B16" s="4"/>
      <c r="C16" s="165">
        <v>75000</v>
      </c>
      <c r="D16" s="163">
        <v>64817</v>
      </c>
      <c r="E16" s="33">
        <v>29546</v>
      </c>
      <c r="F16" s="2">
        <v>3389</v>
      </c>
      <c r="G16" s="2">
        <v>9553</v>
      </c>
      <c r="H16" s="163"/>
    </row>
    <row r="17" spans="1:8" x14ac:dyDescent="0.3">
      <c r="A17" s="4" t="s">
        <v>15</v>
      </c>
      <c r="B17" s="4"/>
      <c r="C17" s="29"/>
      <c r="D17" s="172"/>
      <c r="E17" s="2"/>
      <c r="F17" s="173"/>
      <c r="G17" s="173"/>
      <c r="H17" s="128"/>
    </row>
    <row r="18" spans="1:8" x14ac:dyDescent="0.3">
      <c r="A18" s="52"/>
      <c r="B18" s="52" t="s">
        <v>16</v>
      </c>
      <c r="C18" s="174"/>
      <c r="D18" s="174"/>
      <c r="E18" s="34"/>
      <c r="F18" s="175"/>
      <c r="G18" s="175"/>
      <c r="H18" s="128"/>
    </row>
    <row r="19" spans="1:8" x14ac:dyDescent="0.3">
      <c r="A19" s="4" t="s">
        <v>17</v>
      </c>
      <c r="B19" s="4"/>
      <c r="C19" s="30">
        <v>9990000</v>
      </c>
      <c r="D19" s="30">
        <v>4440000</v>
      </c>
      <c r="E19" s="33">
        <v>3300000</v>
      </c>
      <c r="F19" s="2">
        <v>2290000</v>
      </c>
      <c r="G19" s="2">
        <v>495900</v>
      </c>
      <c r="H19" s="128">
        <f>SUM(Table638101112131415161718192021222324[[#This Row],[Quintiles]:[Medpace]])</f>
        <v>20515900</v>
      </c>
    </row>
    <row r="20" spans="1:8" x14ac:dyDescent="0.3">
      <c r="A20" s="15" t="s">
        <v>18</v>
      </c>
      <c r="B20" s="15"/>
      <c r="C20" s="35">
        <v>1.24</v>
      </c>
      <c r="D20" s="164">
        <v>1.31</v>
      </c>
      <c r="E20">
        <v>1.32</v>
      </c>
      <c r="F20">
        <v>1.6</v>
      </c>
      <c r="G20">
        <v>1.1100000000000001</v>
      </c>
      <c r="H20" s="140"/>
    </row>
    <row r="22" spans="1:8" x14ac:dyDescent="0.3">
      <c r="C22" s="2"/>
    </row>
    <row r="24" spans="1:8" x14ac:dyDescent="0.3">
      <c r="A24" t="s">
        <v>62</v>
      </c>
    </row>
    <row r="25" spans="1:8" x14ac:dyDescent="0.3">
      <c r="A25" t="s">
        <v>65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F17" sqref="F17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3.44140625" customWidth="1"/>
    <col min="5" max="5" width="15.77734375" customWidth="1"/>
    <col min="6" max="6" width="18.33203125" customWidth="1"/>
    <col min="7" max="7" width="13.109375" bestFit="1" customWidth="1"/>
    <col min="8" max="8" width="13.109375" customWidth="1"/>
    <col min="9" max="9" width="19.6640625" bestFit="1" customWidth="1"/>
  </cols>
  <sheetData>
    <row r="1" spans="1:9" ht="19.8" x14ac:dyDescent="0.4">
      <c r="A1" s="32" t="s">
        <v>63</v>
      </c>
      <c r="B1" s="1"/>
    </row>
    <row r="2" spans="1:9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60</v>
      </c>
      <c r="I2" t="s">
        <v>45</v>
      </c>
    </row>
    <row r="3" spans="1:9" x14ac:dyDescent="0.3">
      <c r="A3" s="4" t="s">
        <v>14</v>
      </c>
      <c r="B3" s="4"/>
      <c r="C3" s="36">
        <f>SUM(C4:C6)*0.647</f>
        <v>1502334</v>
      </c>
      <c r="D3" s="36">
        <f>SUM(D4:D6)</f>
        <v>605200</v>
      </c>
      <c r="E3" s="36">
        <f>SUM(E4:E6)</f>
        <v>578066</v>
      </c>
      <c r="F3" s="158">
        <f t="shared" ref="F3" si="0">SUM(F4:F6)</f>
        <v>487760</v>
      </c>
      <c r="G3" s="36">
        <f>SUM(G4:G6)</f>
        <v>381918</v>
      </c>
      <c r="H3" s="36">
        <f>SUM(H4:H6)</f>
        <v>106611</v>
      </c>
      <c r="I3" s="36">
        <f>SUM(Table6381011121314151617181920212223[[#This Row],[Quintiles]:[Medpace]])</f>
        <v>3661889</v>
      </c>
    </row>
    <row r="4" spans="1:9" x14ac:dyDescent="0.3">
      <c r="A4" s="1"/>
      <c r="B4" s="1" t="s">
        <v>5</v>
      </c>
      <c r="C4" s="167">
        <v>1911000</v>
      </c>
      <c r="D4" s="79">
        <v>529300</v>
      </c>
      <c r="E4" s="158">
        <v>431954</v>
      </c>
      <c r="F4" s="167">
        <v>427080</v>
      </c>
      <c r="G4" s="167">
        <v>252078</v>
      </c>
      <c r="H4" s="167">
        <v>93781</v>
      </c>
      <c r="I4" s="36"/>
    </row>
    <row r="5" spans="1:9" x14ac:dyDescent="0.3">
      <c r="A5" s="1"/>
      <c r="B5" s="1" t="s">
        <v>6</v>
      </c>
      <c r="C5" s="167">
        <v>411000</v>
      </c>
      <c r="D5" s="79">
        <v>75900</v>
      </c>
      <c r="E5" s="158">
        <v>146112</v>
      </c>
      <c r="F5" s="167">
        <v>60680</v>
      </c>
      <c r="G5" s="167">
        <v>129840</v>
      </c>
      <c r="H5" s="167">
        <v>12830</v>
      </c>
      <c r="I5" s="36"/>
    </row>
    <row r="6" spans="1:9" x14ac:dyDescent="0.3">
      <c r="A6" s="4"/>
      <c r="B6" s="4" t="s">
        <v>32</v>
      </c>
      <c r="C6" s="158"/>
      <c r="D6" s="79"/>
      <c r="E6" s="36"/>
      <c r="F6" s="158"/>
      <c r="G6" s="158"/>
      <c r="H6" s="158"/>
      <c r="I6" s="36"/>
    </row>
    <row r="7" spans="1:9" x14ac:dyDescent="0.3">
      <c r="A7" s="4" t="s">
        <v>19</v>
      </c>
      <c r="B7" s="4"/>
      <c r="C7" s="158">
        <f>C4</f>
        <v>1911000</v>
      </c>
      <c r="D7" s="158">
        <f t="shared" ref="D7:F7" si="1">D4</f>
        <v>529300</v>
      </c>
      <c r="E7" s="168">
        <f>E4</f>
        <v>431954</v>
      </c>
      <c r="F7" s="158">
        <f t="shared" si="1"/>
        <v>427080</v>
      </c>
      <c r="G7" s="158">
        <f>G4</f>
        <v>252078</v>
      </c>
      <c r="H7" s="158">
        <f>H4</f>
        <v>93781</v>
      </c>
      <c r="I7" s="36"/>
    </row>
    <row r="8" spans="1:9" x14ac:dyDescent="0.3">
      <c r="A8" s="4" t="s">
        <v>11</v>
      </c>
      <c r="B8" s="4"/>
      <c r="C8" s="168">
        <f>SUM(C9:C12)</f>
        <v>2154000</v>
      </c>
      <c r="D8" s="168">
        <f t="shared" ref="D8:F8" si="2">SUM(D9:D13)</f>
        <v>575300</v>
      </c>
      <c r="E8" s="168">
        <f>SUM(E9:E13)</f>
        <v>492408</v>
      </c>
      <c r="F8" s="158">
        <f t="shared" si="2"/>
        <v>437734</v>
      </c>
      <c r="G8" s="168">
        <f>SUM(G9:G13)</f>
        <v>347166</v>
      </c>
      <c r="H8" s="168">
        <f>SUM(H9:H13)</f>
        <v>90667</v>
      </c>
      <c r="I8" s="36"/>
    </row>
    <row r="9" spans="1:9" x14ac:dyDescent="0.3">
      <c r="A9" s="1"/>
      <c r="B9" s="1" t="s">
        <v>7</v>
      </c>
      <c r="C9" s="167">
        <v>1112000</v>
      </c>
      <c r="D9" s="82">
        <v>349600</v>
      </c>
      <c r="E9" s="79">
        <v>250459</v>
      </c>
      <c r="F9" s="167">
        <v>287512</v>
      </c>
      <c r="G9" s="167">
        <v>154835</v>
      </c>
      <c r="H9" s="167">
        <v>51105</v>
      </c>
      <c r="I9" s="36"/>
    </row>
    <row r="10" spans="1:9" x14ac:dyDescent="0.3">
      <c r="A10" s="1"/>
      <c r="B10" s="1" t="s">
        <v>20</v>
      </c>
      <c r="C10" s="167">
        <v>411000</v>
      </c>
      <c r="D10" s="79">
        <v>75900</v>
      </c>
      <c r="E10" s="158">
        <v>146112</v>
      </c>
      <c r="F10" s="167">
        <v>60680</v>
      </c>
      <c r="G10" s="167">
        <v>129840</v>
      </c>
      <c r="H10" s="167">
        <v>12830</v>
      </c>
      <c r="I10" s="36"/>
    </row>
    <row r="11" spans="1:9" x14ac:dyDescent="0.3">
      <c r="A11" s="1"/>
      <c r="B11" s="1" t="s">
        <v>12</v>
      </c>
      <c r="C11" s="169">
        <v>251000</v>
      </c>
      <c r="D11" s="82">
        <v>100800</v>
      </c>
      <c r="E11" s="36">
        <v>81389</v>
      </c>
      <c r="F11" s="167">
        <v>74268</v>
      </c>
      <c r="G11" s="167">
        <v>44934</v>
      </c>
      <c r="H11" s="167">
        <v>15154</v>
      </c>
      <c r="I11" s="36"/>
    </row>
    <row r="12" spans="1:9" x14ac:dyDescent="0.3">
      <c r="A12" s="1"/>
      <c r="B12" s="1" t="s">
        <v>13</v>
      </c>
      <c r="C12" s="167">
        <v>380000</v>
      </c>
      <c r="D12" s="82">
        <v>27400</v>
      </c>
      <c r="E12" s="36">
        <v>14448</v>
      </c>
      <c r="F12" s="167">
        <v>15192</v>
      </c>
      <c r="G12" s="158">
        <v>1929</v>
      </c>
      <c r="H12" s="158">
        <v>2130</v>
      </c>
      <c r="I12" s="36"/>
    </row>
    <row r="13" spans="1:9" x14ac:dyDescent="0.3">
      <c r="A13" s="1"/>
      <c r="B13" s="1" t="s">
        <v>10</v>
      </c>
      <c r="C13" s="141"/>
      <c r="D13" s="82">
        <v>21600</v>
      </c>
      <c r="E13" s="79"/>
      <c r="F13" s="170">
        <v>82</v>
      </c>
      <c r="G13" s="158">
        <v>15628</v>
      </c>
      <c r="H13" s="158">
        <v>9448</v>
      </c>
      <c r="I13" s="36"/>
    </row>
    <row r="14" spans="1:9" x14ac:dyDescent="0.3">
      <c r="A14" s="4" t="s">
        <v>24</v>
      </c>
      <c r="B14" s="4"/>
      <c r="C14" s="36">
        <f>C3-C6-C8</f>
        <v>-651666</v>
      </c>
      <c r="D14" s="36">
        <f t="shared" ref="D14:F14" si="3">D3-D6-D8</f>
        <v>29900</v>
      </c>
      <c r="E14" s="36">
        <f t="shared" si="3"/>
        <v>85658</v>
      </c>
      <c r="F14" s="158">
        <f t="shared" si="3"/>
        <v>50026</v>
      </c>
      <c r="G14" s="36">
        <f>G3-G6-G8</f>
        <v>34752</v>
      </c>
      <c r="H14" s="36">
        <f>H3-H6-H8</f>
        <v>15944</v>
      </c>
      <c r="I14" s="36"/>
    </row>
    <row r="15" spans="1:9" x14ac:dyDescent="0.3">
      <c r="A15" s="18"/>
      <c r="B15" s="18" t="s">
        <v>16</v>
      </c>
      <c r="C15" s="41">
        <f>C14/C4</f>
        <v>-0.34100784929356359</v>
      </c>
      <c r="D15" s="41">
        <f t="shared" ref="D15:F15" si="4">D14/D4</f>
        <v>5.6489703381825053E-2</v>
      </c>
      <c r="E15" s="41">
        <f>E14/E4</f>
        <v>0.19830352306032586</v>
      </c>
      <c r="F15" s="171">
        <f t="shared" si="4"/>
        <v>0.11713496300458931</v>
      </c>
      <c r="G15" s="41">
        <f>G14/G4</f>
        <v>0.13786209030538166</v>
      </c>
      <c r="H15" s="41">
        <f>H14/H4</f>
        <v>0.17001311566308741</v>
      </c>
      <c r="I15" s="36"/>
    </row>
    <row r="16" spans="1:9" x14ac:dyDescent="0.3">
      <c r="A16" s="4" t="s">
        <v>26</v>
      </c>
      <c r="B16" s="4"/>
      <c r="C16" s="165">
        <v>74000</v>
      </c>
      <c r="D16" s="166">
        <v>29900</v>
      </c>
      <c r="E16" s="163">
        <v>71409</v>
      </c>
      <c r="F16" s="33">
        <v>25224</v>
      </c>
      <c r="G16" s="2">
        <v>21187</v>
      </c>
      <c r="H16" s="2">
        <v>8447</v>
      </c>
      <c r="I16" s="163"/>
    </row>
    <row r="17" spans="1:9" x14ac:dyDescent="0.3">
      <c r="A17" s="4" t="s">
        <v>15</v>
      </c>
      <c r="B17" s="4"/>
      <c r="C17" s="29"/>
      <c r="D17" s="163"/>
      <c r="E17" s="172"/>
      <c r="F17" s="2"/>
      <c r="G17" s="173"/>
      <c r="H17" s="173"/>
      <c r="I17" s="128"/>
    </row>
    <row r="18" spans="1:9" x14ac:dyDescent="0.3">
      <c r="A18" s="52"/>
      <c r="B18" s="52" t="s">
        <v>16</v>
      </c>
      <c r="C18" s="174"/>
      <c r="D18" s="174"/>
      <c r="E18" s="174"/>
      <c r="F18" s="34"/>
      <c r="G18" s="175"/>
      <c r="H18" s="175"/>
      <c r="I18" s="128"/>
    </row>
    <row r="19" spans="1:9" x14ac:dyDescent="0.3">
      <c r="A19" s="4" t="s">
        <v>17</v>
      </c>
      <c r="B19" s="4"/>
      <c r="C19" s="30">
        <v>9660000</v>
      </c>
      <c r="D19" s="36">
        <v>4060000</v>
      </c>
      <c r="E19" s="30">
        <v>4310000</v>
      </c>
      <c r="F19" s="33">
        <v>3100000</v>
      </c>
      <c r="G19" s="2">
        <v>2100000</v>
      </c>
      <c r="H19" s="2">
        <v>483800</v>
      </c>
      <c r="I19" s="128">
        <f>SUM(Table6381011121314151617181920212223[[#This Row],[Quintiles]:[Medpace]])</f>
        <v>23713800</v>
      </c>
    </row>
    <row r="20" spans="1:9" x14ac:dyDescent="0.3">
      <c r="A20" s="15" t="s">
        <v>18</v>
      </c>
      <c r="B20" s="15"/>
      <c r="C20" s="35">
        <v>1.1599999999999999</v>
      </c>
      <c r="D20" s="176">
        <v>1.22</v>
      </c>
      <c r="E20" s="164">
        <v>1.21</v>
      </c>
      <c r="F20">
        <v>1.32</v>
      </c>
      <c r="G20">
        <v>1.4</v>
      </c>
      <c r="H20">
        <v>1.19</v>
      </c>
      <c r="I20" s="140"/>
    </row>
    <row r="22" spans="1:9" x14ac:dyDescent="0.3">
      <c r="C22" s="2"/>
    </row>
    <row r="24" spans="1:9" x14ac:dyDescent="0.3">
      <c r="A24" t="s">
        <v>62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activeCell="D16" sqref="D16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3.109375" customWidth="1"/>
    <col min="9" max="9" width="19.6640625" bestFit="1" customWidth="1"/>
  </cols>
  <sheetData>
    <row r="1" spans="1:9" ht="19.8" x14ac:dyDescent="0.4">
      <c r="A1" s="32" t="s">
        <v>61</v>
      </c>
      <c r="B1" s="1"/>
    </row>
    <row r="2" spans="1:9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60</v>
      </c>
      <c r="I2" t="s">
        <v>45</v>
      </c>
    </row>
    <row r="3" spans="1:9" x14ac:dyDescent="0.3">
      <c r="A3" s="4" t="s">
        <v>14</v>
      </c>
      <c r="B3" s="4"/>
      <c r="C3" s="10">
        <f>SUM(C4:C6)*0.647</f>
        <v>1512686</v>
      </c>
      <c r="D3" s="10">
        <f>SUM(D4:D6)</f>
        <v>612200</v>
      </c>
      <c r="E3" s="10">
        <f>SUM(E4:E6)</f>
        <v>610465</v>
      </c>
      <c r="F3" s="2">
        <f t="shared" ref="F3" si="0">SUM(F4:F6)</f>
        <v>472386</v>
      </c>
      <c r="G3" s="10">
        <f>SUM(G4:G6)</f>
        <v>406071</v>
      </c>
      <c r="H3" s="10">
        <f>SUM(H4:H6)</f>
        <v>108243</v>
      </c>
      <c r="I3" s="10">
        <f>SUM(Table63810111213141516171819202122[[#This Row],[Quintiles]:[Medpace]])</f>
        <v>3722051</v>
      </c>
    </row>
    <row r="4" spans="1:9" x14ac:dyDescent="0.3">
      <c r="A4" s="1"/>
      <c r="B4" s="1" t="s">
        <v>5</v>
      </c>
      <c r="C4" s="33">
        <v>1953000</v>
      </c>
      <c r="D4" s="80">
        <v>534400</v>
      </c>
      <c r="E4" s="146">
        <v>435134</v>
      </c>
      <c r="F4" s="33">
        <v>413613</v>
      </c>
      <c r="G4" s="33">
        <v>262979</v>
      </c>
      <c r="H4" s="33">
        <v>95376</v>
      </c>
      <c r="I4" s="10"/>
    </row>
    <row r="5" spans="1:9" x14ac:dyDescent="0.3">
      <c r="A5" s="1"/>
      <c r="B5" s="1" t="s">
        <v>6</v>
      </c>
      <c r="C5" s="33">
        <v>385000</v>
      </c>
      <c r="D5" s="80">
        <v>77800</v>
      </c>
      <c r="E5" s="146">
        <v>175331</v>
      </c>
      <c r="F5" s="33">
        <v>58773</v>
      </c>
      <c r="G5" s="33">
        <v>143092</v>
      </c>
      <c r="H5" s="33">
        <v>12867</v>
      </c>
      <c r="I5" s="10"/>
    </row>
    <row r="6" spans="1:9" x14ac:dyDescent="0.3">
      <c r="A6" s="4"/>
      <c r="B6" s="4" t="s">
        <v>32</v>
      </c>
      <c r="C6" s="146"/>
      <c r="D6" s="134"/>
      <c r="E6" s="133"/>
      <c r="F6" s="2"/>
      <c r="G6" s="135"/>
      <c r="H6" s="135"/>
      <c r="I6" s="10"/>
    </row>
    <row r="7" spans="1:9" x14ac:dyDescent="0.3">
      <c r="A7" s="4" t="s">
        <v>19</v>
      </c>
      <c r="B7" s="4"/>
      <c r="C7" s="146">
        <f>C4</f>
        <v>1953000</v>
      </c>
      <c r="D7" s="146">
        <f t="shared" ref="D7:F7" si="1">D4</f>
        <v>534400</v>
      </c>
      <c r="E7" s="30">
        <f>E4</f>
        <v>435134</v>
      </c>
      <c r="F7" s="2">
        <f t="shared" si="1"/>
        <v>413613</v>
      </c>
      <c r="G7" s="146">
        <f>G4</f>
        <v>262979</v>
      </c>
      <c r="H7" s="146">
        <f>H4</f>
        <v>95376</v>
      </c>
      <c r="I7" s="10"/>
    </row>
    <row r="8" spans="1:9" x14ac:dyDescent="0.3">
      <c r="A8" s="4" t="s">
        <v>11</v>
      </c>
      <c r="B8" s="4"/>
      <c r="C8" s="13">
        <f>SUM(C9:C13)</f>
        <v>2194000</v>
      </c>
      <c r="D8" s="13">
        <f t="shared" ref="D8:F8" si="2">SUM(D9:D13)</f>
        <v>552200</v>
      </c>
      <c r="E8" s="13">
        <f>SUM(E9:E13)</f>
        <v>350491</v>
      </c>
      <c r="F8" s="2">
        <f t="shared" si="2"/>
        <v>434145</v>
      </c>
      <c r="G8" s="13">
        <f>SUM(G9:G13)</f>
        <v>362271</v>
      </c>
      <c r="H8" s="13">
        <f>SUM(H9:H13)</f>
        <v>95353</v>
      </c>
      <c r="I8" s="10"/>
    </row>
    <row r="9" spans="1:9" x14ac:dyDescent="0.3">
      <c r="A9" s="1"/>
      <c r="B9" s="1" t="s">
        <v>7</v>
      </c>
      <c r="C9" s="33">
        <v>1111000</v>
      </c>
      <c r="D9" s="155">
        <v>350900</v>
      </c>
      <c r="E9" s="80">
        <v>251502</v>
      </c>
      <c r="F9" s="33">
        <v>274355</v>
      </c>
      <c r="G9" s="33">
        <v>155437</v>
      </c>
      <c r="H9" s="33">
        <v>51074</v>
      </c>
      <c r="I9" s="10"/>
    </row>
    <row r="10" spans="1:9" x14ac:dyDescent="0.3">
      <c r="A10" s="1"/>
      <c r="B10" s="1" t="s">
        <v>20</v>
      </c>
      <c r="C10" s="33">
        <v>385000</v>
      </c>
      <c r="D10" s="80">
        <v>77800</v>
      </c>
      <c r="E10" s="146">
        <v>83534</v>
      </c>
      <c r="F10" s="33">
        <v>58773</v>
      </c>
      <c r="G10" s="33">
        <v>143092</v>
      </c>
      <c r="H10" s="33">
        <v>12867</v>
      </c>
      <c r="I10" s="10"/>
    </row>
    <row r="11" spans="1:9" x14ac:dyDescent="0.3">
      <c r="A11" s="1"/>
      <c r="B11" s="1" t="s">
        <v>12</v>
      </c>
      <c r="C11" s="33">
        <v>390000</v>
      </c>
      <c r="D11" s="82">
        <v>95600</v>
      </c>
      <c r="E11" s="163">
        <v>15455</v>
      </c>
      <c r="F11" s="33">
        <v>70245</v>
      </c>
      <c r="G11" s="33">
        <v>44568</v>
      </c>
      <c r="H11" s="33">
        <v>16783</v>
      </c>
      <c r="I11" s="10"/>
    </row>
    <row r="12" spans="1:9" x14ac:dyDescent="0.3">
      <c r="A12" s="1"/>
      <c r="B12" s="1" t="s">
        <v>13</v>
      </c>
      <c r="C12" s="33">
        <v>190000</v>
      </c>
      <c r="D12" s="82">
        <v>19100</v>
      </c>
      <c r="E12" s="163"/>
      <c r="F12" s="33">
        <v>13049</v>
      </c>
      <c r="G12" s="158">
        <v>3329</v>
      </c>
      <c r="H12" s="158">
        <v>1961</v>
      </c>
      <c r="I12" s="10"/>
    </row>
    <row r="13" spans="1:9" x14ac:dyDescent="0.3">
      <c r="A13" s="1"/>
      <c r="B13" s="1" t="s">
        <v>10</v>
      </c>
      <c r="C13" s="149">
        <v>118000</v>
      </c>
      <c r="D13" s="155">
        <v>8800</v>
      </c>
      <c r="E13" s="79"/>
      <c r="F13">
        <v>17723</v>
      </c>
      <c r="G13" s="146">
        <v>15845</v>
      </c>
      <c r="H13" s="146">
        <v>12668</v>
      </c>
      <c r="I13" s="10"/>
    </row>
    <row r="14" spans="1:9" x14ac:dyDescent="0.3">
      <c r="A14" s="4" t="s">
        <v>24</v>
      </c>
      <c r="B14" s="4"/>
      <c r="C14" s="10">
        <f>C3-C6-C8</f>
        <v>-681314</v>
      </c>
      <c r="D14" s="10">
        <f t="shared" ref="D14:F14" si="3">D3-D6-D8</f>
        <v>60000</v>
      </c>
      <c r="E14" s="10">
        <f t="shared" si="3"/>
        <v>259974</v>
      </c>
      <c r="F14" s="2">
        <f t="shared" si="3"/>
        <v>38241</v>
      </c>
      <c r="G14" s="10">
        <f>G3-G6-G8</f>
        <v>43800</v>
      </c>
      <c r="H14" s="10">
        <f>H3-H6-H8</f>
        <v>12890</v>
      </c>
      <c r="I14" s="10"/>
    </row>
    <row r="15" spans="1:9" x14ac:dyDescent="0.3">
      <c r="A15" s="18"/>
      <c r="B15" s="18" t="s">
        <v>16</v>
      </c>
      <c r="C15" s="147">
        <f>C14/C4</f>
        <v>-0.34885509472606246</v>
      </c>
      <c r="D15" s="147">
        <f t="shared" ref="D15:F15" si="4">D14/D4</f>
        <v>0.1122754491017964</v>
      </c>
      <c r="E15" s="147">
        <f>E14/E4</f>
        <v>0.5974573349818677</v>
      </c>
      <c r="F15" s="34">
        <f t="shared" si="4"/>
        <v>9.2455991470287449E-2</v>
      </c>
      <c r="G15" s="147">
        <f>G14/G4</f>
        <v>0.16655322288091445</v>
      </c>
      <c r="H15" s="147">
        <f>H14/H4</f>
        <v>0.1351493038080859</v>
      </c>
      <c r="I15" s="10"/>
    </row>
    <row r="16" spans="1:9" x14ac:dyDescent="0.3">
      <c r="A16" s="4" t="s">
        <v>26</v>
      </c>
      <c r="B16" s="4"/>
      <c r="C16" s="165">
        <v>-175000</v>
      </c>
      <c r="D16" s="148">
        <v>21800</v>
      </c>
      <c r="E16" s="10">
        <v>74262</v>
      </c>
      <c r="F16" s="33">
        <v>14025</v>
      </c>
      <c r="G16" s="146">
        <v>37491</v>
      </c>
      <c r="H16" s="146">
        <v>-21</v>
      </c>
      <c r="I16" s="10"/>
    </row>
    <row r="17" spans="1:9" x14ac:dyDescent="0.3">
      <c r="A17" s="4" t="s">
        <v>15</v>
      </c>
      <c r="B17" s="4"/>
      <c r="C17" s="141"/>
      <c r="D17" s="133"/>
      <c r="E17" s="142"/>
      <c r="F17" s="2"/>
      <c r="G17" s="143"/>
      <c r="H17" s="143"/>
      <c r="I17" s="140"/>
    </row>
    <row r="18" spans="1:9" x14ac:dyDescent="0.3">
      <c r="A18" s="52"/>
      <c r="B18" s="52" t="s">
        <v>16</v>
      </c>
      <c r="C18" s="144"/>
      <c r="D18" s="144"/>
      <c r="E18" s="144"/>
      <c r="F18" s="34"/>
      <c r="G18" s="145"/>
      <c r="H18" s="145"/>
      <c r="I18" s="140"/>
    </row>
    <row r="19" spans="1:9" x14ac:dyDescent="0.3">
      <c r="A19" s="4" t="s">
        <v>17</v>
      </c>
      <c r="B19" s="4"/>
      <c r="C19" s="13">
        <v>9500000</v>
      </c>
      <c r="D19" s="10">
        <v>5800000</v>
      </c>
      <c r="E19" s="13">
        <v>4220000</v>
      </c>
      <c r="F19" s="33">
        <v>2900000</v>
      </c>
      <c r="G19" s="146">
        <v>2000000</v>
      </c>
      <c r="H19" s="146">
        <v>483900</v>
      </c>
      <c r="I19" s="156">
        <f>SUM(Table63810111213141516171819202122[[#This Row],[Quintiles]:[Medpace]])</f>
        <v>24903900</v>
      </c>
    </row>
    <row r="20" spans="1:9" x14ac:dyDescent="0.3">
      <c r="A20" s="15" t="s">
        <v>18</v>
      </c>
      <c r="B20" s="15"/>
      <c r="C20" s="35">
        <v>1.25</v>
      </c>
      <c r="D20" s="35">
        <v>1.2</v>
      </c>
      <c r="E20" s="164">
        <v>1</v>
      </c>
      <c r="F20">
        <v>1.42</v>
      </c>
      <c r="G20">
        <v>1.1000000000000001</v>
      </c>
      <c r="H20">
        <v>1.05</v>
      </c>
      <c r="I20" s="128"/>
    </row>
    <row r="22" spans="1:9" x14ac:dyDescent="0.3">
      <c r="C22" s="2"/>
    </row>
    <row r="24" spans="1:9" x14ac:dyDescent="0.3">
      <c r="A24" t="s">
        <v>62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3.109375" customWidth="1"/>
    <col min="9" max="9" width="19.6640625" bestFit="1" customWidth="1"/>
  </cols>
  <sheetData>
    <row r="1" spans="1:9" ht="19.8" x14ac:dyDescent="0.4">
      <c r="A1" s="32" t="s">
        <v>59</v>
      </c>
      <c r="B1" s="1"/>
    </row>
    <row r="2" spans="1:9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60</v>
      </c>
      <c r="I2" t="s">
        <v>45</v>
      </c>
    </row>
    <row r="3" spans="1:9" x14ac:dyDescent="0.3">
      <c r="A3" s="4" t="s">
        <v>14</v>
      </c>
      <c r="B3" s="4"/>
      <c r="C3" s="10">
        <f>SUM(C4:C6)</f>
        <v>1497173</v>
      </c>
      <c r="D3" s="10">
        <f>SUM(D4:D6)</f>
        <v>576500</v>
      </c>
      <c r="E3" s="10">
        <f>SUM(E4:E6)</f>
        <v>622261</v>
      </c>
      <c r="F3" s="2">
        <f t="shared" ref="F3" si="0">SUM(F4:F6)</f>
        <v>453255</v>
      </c>
      <c r="G3" s="10">
        <f>SUM(G4:G6)</f>
        <v>391791</v>
      </c>
      <c r="H3" s="10">
        <f>SUM(H4:H6)</f>
        <v>107799</v>
      </c>
      <c r="I3" s="10">
        <f>SUM(Table638101112131415161718192021[[#This Row],[Quintiles]:[Medpace]])</f>
        <v>3648779</v>
      </c>
    </row>
    <row r="4" spans="1:9" x14ac:dyDescent="0.3">
      <c r="A4" s="1"/>
      <c r="B4" s="1" t="s">
        <v>5</v>
      </c>
      <c r="C4" s="33">
        <v>1136423</v>
      </c>
      <c r="D4" s="80">
        <v>496700</v>
      </c>
      <c r="E4" s="146">
        <v>420201</v>
      </c>
      <c r="F4" s="33">
        <v>399841</v>
      </c>
      <c r="G4" s="33">
        <v>259557</v>
      </c>
      <c r="H4" s="33">
        <v>94812</v>
      </c>
      <c r="I4" s="10"/>
    </row>
    <row r="5" spans="1:9" x14ac:dyDescent="0.3">
      <c r="A5" s="1"/>
      <c r="B5" s="1" t="s">
        <v>6</v>
      </c>
      <c r="C5" s="33">
        <v>360750</v>
      </c>
      <c r="D5" s="80">
        <v>79800</v>
      </c>
      <c r="E5" s="146">
        <v>202060</v>
      </c>
      <c r="F5" s="33">
        <v>53414</v>
      </c>
      <c r="G5" s="33">
        <v>132234</v>
      </c>
      <c r="H5" s="33">
        <v>12987</v>
      </c>
      <c r="I5" s="10"/>
    </row>
    <row r="6" spans="1:9" x14ac:dyDescent="0.3">
      <c r="A6" s="4"/>
      <c r="B6" s="4" t="s">
        <v>32</v>
      </c>
      <c r="C6" s="146"/>
      <c r="D6" s="134"/>
      <c r="E6" s="133"/>
      <c r="F6" s="2"/>
      <c r="G6" s="135"/>
      <c r="H6" s="135"/>
      <c r="I6" s="10"/>
    </row>
    <row r="7" spans="1:9" x14ac:dyDescent="0.3">
      <c r="A7" s="4" t="s">
        <v>19</v>
      </c>
      <c r="B7" s="4"/>
      <c r="C7" s="146">
        <f>C4</f>
        <v>1136423</v>
      </c>
      <c r="D7" s="146">
        <f t="shared" ref="D7:F7" si="1">D4</f>
        <v>496700</v>
      </c>
      <c r="E7" s="30">
        <f>E4</f>
        <v>420201</v>
      </c>
      <c r="F7" s="2">
        <f t="shared" si="1"/>
        <v>399841</v>
      </c>
      <c r="G7" s="146">
        <f>G4</f>
        <v>259557</v>
      </c>
      <c r="H7" s="146">
        <f>H4</f>
        <v>94812</v>
      </c>
      <c r="I7" s="10"/>
    </row>
    <row r="8" spans="1:9" x14ac:dyDescent="0.3">
      <c r="A8" s="4" t="s">
        <v>11</v>
      </c>
      <c r="B8" s="4"/>
      <c r="C8" s="13">
        <f>SUM(C9:C13)</f>
        <v>1329403</v>
      </c>
      <c r="D8" s="13">
        <f t="shared" ref="D8:F8" si="2">SUM(D9:D13)</f>
        <v>523200</v>
      </c>
      <c r="E8" s="13">
        <f>SUM(E9:E13)</f>
        <v>545147</v>
      </c>
      <c r="F8" s="2">
        <f t="shared" si="2"/>
        <v>398441</v>
      </c>
      <c r="G8" s="13">
        <f>SUM(G9:G13)</f>
        <v>352395</v>
      </c>
      <c r="H8" s="13">
        <f>SUM(H9:H13)</f>
        <v>95182</v>
      </c>
      <c r="I8" s="10"/>
    </row>
    <row r="9" spans="1:9" x14ac:dyDescent="0.3">
      <c r="A9" s="1"/>
      <c r="B9" s="1" t="s">
        <v>7</v>
      </c>
      <c r="C9" s="33">
        <v>703791</v>
      </c>
      <c r="D9" s="155">
        <v>327700</v>
      </c>
      <c r="E9" s="80">
        <v>243244</v>
      </c>
      <c r="F9" s="33">
        <v>259910</v>
      </c>
      <c r="G9" s="33">
        <v>159641</v>
      </c>
      <c r="H9" s="33">
        <v>51221</v>
      </c>
      <c r="I9" s="10"/>
    </row>
    <row r="10" spans="1:9" x14ac:dyDescent="0.3">
      <c r="A10" s="1"/>
      <c r="B10" s="1" t="s">
        <v>20</v>
      </c>
      <c r="C10" s="33">
        <v>360750</v>
      </c>
      <c r="D10" s="80">
        <v>79800</v>
      </c>
      <c r="E10" s="146">
        <v>202060</v>
      </c>
      <c r="F10" s="33">
        <v>53414</v>
      </c>
      <c r="G10" s="33">
        <v>132234</v>
      </c>
      <c r="H10" s="33">
        <v>12987</v>
      </c>
      <c r="I10" s="10"/>
    </row>
    <row r="11" spans="1:9" x14ac:dyDescent="0.3">
      <c r="A11" s="1"/>
      <c r="B11" s="1" t="s">
        <v>12</v>
      </c>
      <c r="C11" s="33">
        <v>233645</v>
      </c>
      <c r="D11" s="82">
        <v>115700</v>
      </c>
      <c r="E11" s="163">
        <v>81235</v>
      </c>
      <c r="F11" s="33">
        <v>67190</v>
      </c>
      <c r="G11" s="33">
        <v>41743</v>
      </c>
      <c r="H11" s="33">
        <v>16391</v>
      </c>
      <c r="I11" s="10"/>
    </row>
    <row r="12" spans="1:9" x14ac:dyDescent="0.3">
      <c r="A12" s="1"/>
      <c r="B12" s="1" t="s">
        <v>13</v>
      </c>
      <c r="C12" s="33">
        <v>31684</v>
      </c>
      <c r="D12" s="82"/>
      <c r="E12" s="163">
        <v>14543</v>
      </c>
      <c r="F12" s="33">
        <v>17708</v>
      </c>
      <c r="G12" s="158">
        <v>18777</v>
      </c>
      <c r="H12" s="158">
        <v>1915</v>
      </c>
      <c r="I12" s="10"/>
    </row>
    <row r="13" spans="1:9" x14ac:dyDescent="0.3">
      <c r="A13" s="1"/>
      <c r="B13" s="1" t="s">
        <v>10</v>
      </c>
      <c r="C13" s="149">
        <v>-467</v>
      </c>
      <c r="D13" s="155"/>
      <c r="E13" s="79">
        <v>4065</v>
      </c>
      <c r="F13">
        <v>219</v>
      </c>
      <c r="G13" s="146"/>
      <c r="H13" s="146">
        <v>12668</v>
      </c>
      <c r="I13" s="10"/>
    </row>
    <row r="14" spans="1:9" x14ac:dyDescent="0.3">
      <c r="A14" s="4" t="s">
        <v>24</v>
      </c>
      <c r="B14" s="4"/>
      <c r="C14" s="10">
        <f>C3-C6-C8</f>
        <v>167770</v>
      </c>
      <c r="D14" s="10">
        <f t="shared" ref="D14:F14" si="3">D3-D6-D8</f>
        <v>53300</v>
      </c>
      <c r="E14" s="10">
        <f t="shared" si="3"/>
        <v>77114</v>
      </c>
      <c r="F14" s="2">
        <f t="shared" si="3"/>
        <v>54814</v>
      </c>
      <c r="G14" s="10">
        <f>G3-G6-G8</f>
        <v>39396</v>
      </c>
      <c r="H14" s="10">
        <f>H3-H6-H8</f>
        <v>12617</v>
      </c>
      <c r="I14" s="10"/>
    </row>
    <row r="15" spans="1:9" x14ac:dyDescent="0.3">
      <c r="A15" s="18"/>
      <c r="B15" s="18" t="s">
        <v>16</v>
      </c>
      <c r="C15" s="147">
        <f>C14/C4</f>
        <v>0.14762988781466055</v>
      </c>
      <c r="D15" s="147">
        <f t="shared" ref="D15:F15" si="4">D14/D4</f>
        <v>0.10730823434668814</v>
      </c>
      <c r="E15" s="147">
        <f>E14/E4</f>
        <v>0.18351693594256083</v>
      </c>
      <c r="F15" s="34">
        <f t="shared" si="4"/>
        <v>0.13708949307349672</v>
      </c>
      <c r="G15" s="147">
        <f>G14/G4</f>
        <v>0.15178168957107688</v>
      </c>
      <c r="H15" s="147">
        <f>H14/H4</f>
        <v>0.13307387250559</v>
      </c>
      <c r="I15" s="10"/>
    </row>
    <row r="16" spans="1:9" x14ac:dyDescent="0.3">
      <c r="A16" s="4" t="s">
        <v>26</v>
      </c>
      <c r="B16" s="4"/>
      <c r="C16" s="33">
        <v>103974</v>
      </c>
      <c r="D16" s="148">
        <v>37800</v>
      </c>
      <c r="E16" s="10">
        <v>63879</v>
      </c>
      <c r="F16" s="33">
        <v>31449</v>
      </c>
      <c r="G16" s="146">
        <v>27331</v>
      </c>
      <c r="H16" s="146">
        <v>5036</v>
      </c>
      <c r="I16" s="10"/>
    </row>
    <row r="17" spans="1:9" x14ac:dyDescent="0.3">
      <c r="A17" s="4" t="s">
        <v>15</v>
      </c>
      <c r="B17" s="4"/>
      <c r="C17" s="141"/>
      <c r="D17" s="133"/>
      <c r="E17" s="142"/>
      <c r="F17" s="2"/>
      <c r="G17" s="143"/>
      <c r="H17" s="143"/>
      <c r="I17" s="140"/>
    </row>
    <row r="18" spans="1:9" x14ac:dyDescent="0.3">
      <c r="A18" s="52"/>
      <c r="B18" s="52" t="s">
        <v>16</v>
      </c>
      <c r="C18" s="144"/>
      <c r="D18" s="144"/>
      <c r="E18" s="144"/>
      <c r="F18" s="34"/>
      <c r="G18" s="145"/>
      <c r="H18" s="145"/>
      <c r="I18" s="140"/>
    </row>
    <row r="19" spans="1:9" x14ac:dyDescent="0.3">
      <c r="A19" s="4" t="s">
        <v>17</v>
      </c>
      <c r="B19" s="4"/>
      <c r="C19" s="13">
        <v>9400000</v>
      </c>
      <c r="D19" s="10">
        <v>5800000</v>
      </c>
      <c r="E19" s="13">
        <v>4250000</v>
      </c>
      <c r="F19" s="33">
        <v>2800000</v>
      </c>
      <c r="G19" s="146">
        <v>2000000</v>
      </c>
      <c r="H19" s="146">
        <v>480400</v>
      </c>
      <c r="I19" s="156">
        <f>SUM(Table638101112131415161718192021[[#This Row],[Quintiles]:[Medpace]])</f>
        <v>24730400</v>
      </c>
    </row>
    <row r="20" spans="1:9" x14ac:dyDescent="0.3">
      <c r="A20" s="15" t="s">
        <v>18</v>
      </c>
      <c r="B20" s="15"/>
      <c r="C20" s="35">
        <v>1.41</v>
      </c>
      <c r="D20" s="35">
        <v>1.1299999999999999</v>
      </c>
      <c r="E20" s="35">
        <v>1.21</v>
      </c>
      <c r="F20">
        <v>1.3</v>
      </c>
      <c r="I20" s="128"/>
    </row>
    <row r="22" spans="1:9" x14ac:dyDescent="0.3">
      <c r="C22" s="2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activeCell="D9" sqref="D9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58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1552673</v>
      </c>
      <c r="D3" s="10">
        <f>SUM(D4:D6)</f>
        <v>627800</v>
      </c>
      <c r="E3" s="10">
        <f t="shared" ref="E3:F3" si="0">SUM(E4:E6)</f>
        <v>589647</v>
      </c>
      <c r="F3" s="2">
        <f t="shared" si="0"/>
        <v>455847</v>
      </c>
      <c r="G3" s="10">
        <f>SUM(G4:G6)</f>
        <v>399647</v>
      </c>
      <c r="H3" s="10">
        <f>SUM(Table6381011121314151617181920[[#This Row],[Quintiles]:[INC]])</f>
        <v>3625614</v>
      </c>
    </row>
    <row r="4" spans="1:8" x14ac:dyDescent="0.3">
      <c r="A4" s="1"/>
      <c r="B4" s="1" t="s">
        <v>5</v>
      </c>
      <c r="C4" s="33">
        <v>1167064</v>
      </c>
      <c r="D4" s="80">
        <v>538600</v>
      </c>
      <c r="E4" s="146">
        <v>410630</v>
      </c>
      <c r="F4" s="2">
        <v>394249</v>
      </c>
      <c r="G4" s="80">
        <v>258804</v>
      </c>
      <c r="H4" s="10"/>
    </row>
    <row r="5" spans="1:8" x14ac:dyDescent="0.3">
      <c r="A5" s="1"/>
      <c r="B5" s="1" t="s">
        <v>6</v>
      </c>
      <c r="C5" s="33">
        <v>385609</v>
      </c>
      <c r="D5" s="80">
        <v>89200</v>
      </c>
      <c r="E5" s="146">
        <v>179017</v>
      </c>
      <c r="F5" s="2">
        <v>61598</v>
      </c>
      <c r="G5" s="146">
        <v>140843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2"/>
      <c r="G6" s="135"/>
      <c r="H6" s="10"/>
    </row>
    <row r="7" spans="1:8" x14ac:dyDescent="0.3">
      <c r="A7" s="4" t="s">
        <v>19</v>
      </c>
      <c r="B7" s="4"/>
      <c r="C7" s="146">
        <f>C4</f>
        <v>1167064</v>
      </c>
      <c r="D7" s="146">
        <f t="shared" ref="D7:F7" si="1">D4</f>
        <v>538600</v>
      </c>
      <c r="E7" s="146">
        <f t="shared" si="1"/>
        <v>410630</v>
      </c>
      <c r="F7" s="2">
        <f t="shared" si="1"/>
        <v>394249</v>
      </c>
      <c r="G7" s="146">
        <f>G4</f>
        <v>258804</v>
      </c>
      <c r="H7" s="10"/>
    </row>
    <row r="8" spans="1:8" x14ac:dyDescent="0.3">
      <c r="A8" s="4" t="s">
        <v>11</v>
      </c>
      <c r="B8" s="4"/>
      <c r="C8" s="13">
        <f>SUM(C9:C13)</f>
        <v>1401930</v>
      </c>
      <c r="D8" s="13">
        <f t="shared" ref="D8:F8" si="2">SUM(D9:D13)</f>
        <v>561800</v>
      </c>
      <c r="E8" s="13">
        <f t="shared" si="2"/>
        <v>511626</v>
      </c>
      <c r="F8" s="2">
        <f t="shared" si="2"/>
        <v>405499</v>
      </c>
      <c r="G8" s="13">
        <f>SUM(G9:G13)</f>
        <v>359992</v>
      </c>
      <c r="H8" s="10"/>
    </row>
    <row r="9" spans="1:8" x14ac:dyDescent="0.3">
      <c r="A9" s="1"/>
      <c r="B9" s="1" t="s">
        <v>7</v>
      </c>
      <c r="C9" s="33">
        <v>740639</v>
      </c>
      <c r="D9" s="155">
        <v>348000</v>
      </c>
      <c r="E9" s="80">
        <v>237984</v>
      </c>
      <c r="F9" s="2">
        <v>254936</v>
      </c>
      <c r="G9" s="152">
        <v>159497</v>
      </c>
      <c r="H9" s="10"/>
    </row>
    <row r="10" spans="1:8" x14ac:dyDescent="0.3">
      <c r="A10" s="1"/>
      <c r="B10" s="1" t="s">
        <v>20</v>
      </c>
      <c r="C10" s="33">
        <v>385609</v>
      </c>
      <c r="D10" s="80">
        <v>89200</v>
      </c>
      <c r="E10" s="80">
        <v>179017</v>
      </c>
      <c r="F10" s="2">
        <v>61598</v>
      </c>
      <c r="G10" s="146">
        <v>140843</v>
      </c>
      <c r="H10" s="10"/>
    </row>
    <row r="11" spans="1:8" x14ac:dyDescent="0.3">
      <c r="A11" s="1"/>
      <c r="B11" s="1" t="s">
        <v>12</v>
      </c>
      <c r="C11" s="33">
        <v>250568</v>
      </c>
      <c r="D11" s="82">
        <v>94900</v>
      </c>
      <c r="E11" s="79">
        <v>80168</v>
      </c>
      <c r="F11" s="2">
        <v>68468</v>
      </c>
      <c r="G11" s="158">
        <v>42596</v>
      </c>
      <c r="H11" s="10"/>
    </row>
    <row r="12" spans="1:8" x14ac:dyDescent="0.3">
      <c r="A12" s="1"/>
      <c r="B12" s="1" t="s">
        <v>13</v>
      </c>
      <c r="C12" s="33">
        <v>25114</v>
      </c>
      <c r="D12" s="82">
        <v>29700</v>
      </c>
      <c r="E12" s="79">
        <v>14457</v>
      </c>
      <c r="F12" s="2">
        <v>20497</v>
      </c>
      <c r="G12" s="158">
        <v>1364</v>
      </c>
      <c r="H12" s="10"/>
    </row>
    <row r="13" spans="1:8" x14ac:dyDescent="0.3">
      <c r="A13" s="1"/>
      <c r="B13" s="1" t="s">
        <v>10</v>
      </c>
      <c r="C13" s="149"/>
      <c r="D13" s="155"/>
      <c r="E13" s="80"/>
      <c r="F13" s="2"/>
      <c r="G13" s="146">
        <v>15692</v>
      </c>
      <c r="H13" s="10"/>
    </row>
    <row r="14" spans="1:8" x14ac:dyDescent="0.3">
      <c r="A14" s="4" t="s">
        <v>24</v>
      </c>
      <c r="B14" s="4"/>
      <c r="C14" s="10">
        <f>C3-C6-C8</f>
        <v>150743</v>
      </c>
      <c r="D14" s="10">
        <f t="shared" ref="D14:F14" si="3">D3-D6-D8</f>
        <v>66000</v>
      </c>
      <c r="E14" s="10">
        <f t="shared" si="3"/>
        <v>78021</v>
      </c>
      <c r="F14" s="2">
        <f t="shared" si="3"/>
        <v>50348</v>
      </c>
      <c r="G14" s="10">
        <f>G3-G6-G8</f>
        <v>39655</v>
      </c>
      <c r="H14" s="10"/>
    </row>
    <row r="15" spans="1:8" x14ac:dyDescent="0.3">
      <c r="A15" s="18"/>
      <c r="B15" s="18" t="s">
        <v>16</v>
      </c>
      <c r="C15" s="147">
        <f>C14/C4</f>
        <v>0.12916429604546109</v>
      </c>
      <c r="D15" s="147">
        <f t="shared" ref="D15:F15" si="4">D14/D4</f>
        <v>0.12253991830672113</v>
      </c>
      <c r="E15" s="147">
        <f t="shared" si="4"/>
        <v>0.1900031658670823</v>
      </c>
      <c r="F15" s="34">
        <f t="shared" si="4"/>
        <v>0.127706094371831</v>
      </c>
      <c r="G15" s="147">
        <f>G14/G4</f>
        <v>0.15322406145190956</v>
      </c>
      <c r="H15" s="10"/>
    </row>
    <row r="16" spans="1:8" x14ac:dyDescent="0.3">
      <c r="A16" s="4" t="s">
        <v>26</v>
      </c>
      <c r="B16" s="4"/>
      <c r="C16" s="33">
        <v>91298</v>
      </c>
      <c r="D16" s="148">
        <v>44300</v>
      </c>
      <c r="E16" s="10">
        <v>64657</v>
      </c>
      <c r="F16" s="2">
        <v>38670</v>
      </c>
      <c r="G16" s="146">
        <v>30403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2"/>
      <c r="G17" s="14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34"/>
      <c r="G18" s="145"/>
      <c r="H18" s="140"/>
    </row>
    <row r="19" spans="1:8" x14ac:dyDescent="0.3">
      <c r="A19" s="4" t="s">
        <v>17</v>
      </c>
      <c r="B19" s="4"/>
      <c r="C19" s="13">
        <v>12538000</v>
      </c>
      <c r="D19" s="10">
        <v>5700000</v>
      </c>
      <c r="E19" s="13">
        <v>4000000</v>
      </c>
      <c r="F19" s="2">
        <v>2600000</v>
      </c>
      <c r="G19" s="146">
        <v>1900000</v>
      </c>
      <c r="H19" s="156">
        <f>SUM(Table6381011121314151617181920[[#This Row],[Quintiles]:[INC]])</f>
        <v>26738000</v>
      </c>
    </row>
    <row r="20" spans="1:8" x14ac:dyDescent="0.3">
      <c r="A20" s="15" t="s">
        <v>18</v>
      </c>
      <c r="B20" s="15"/>
      <c r="C20" s="35">
        <v>1.41</v>
      </c>
      <c r="D20" s="35">
        <v>1.2</v>
      </c>
      <c r="E20" s="35">
        <v>1.22</v>
      </c>
      <c r="F20">
        <v>1.25</v>
      </c>
      <c r="G20">
        <v>1.2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D16" sqref="D16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57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1490085</v>
      </c>
      <c r="D3" s="10">
        <f>SUM(D4:D6)</f>
        <v>611400</v>
      </c>
      <c r="E3" s="10">
        <f t="shared" ref="E3:F3" si="0">SUM(E4:E6)</f>
        <v>542583</v>
      </c>
      <c r="F3" s="2">
        <f t="shared" si="0"/>
        <v>430223</v>
      </c>
      <c r="G3" s="10">
        <f>SUM(G4:G6)</f>
        <v>413087</v>
      </c>
      <c r="H3" s="10">
        <f>SUM(Table63810111213141516171819[[#This Row],[Quintiles]:[INC]])</f>
        <v>3487378</v>
      </c>
    </row>
    <row r="4" spans="1:8" x14ac:dyDescent="0.3">
      <c r="A4" s="1"/>
      <c r="B4" s="1" t="s">
        <v>5</v>
      </c>
      <c r="C4" s="33">
        <v>1108022</v>
      </c>
      <c r="D4" s="80">
        <v>527100</v>
      </c>
      <c r="E4" s="146">
        <v>400522</v>
      </c>
      <c r="F4" s="2">
        <v>372320</v>
      </c>
      <c r="G4" s="80">
        <v>248997</v>
      </c>
      <c r="H4" s="10"/>
    </row>
    <row r="5" spans="1:8" x14ac:dyDescent="0.3">
      <c r="A5" s="1"/>
      <c r="B5" s="1" t="s">
        <v>6</v>
      </c>
      <c r="C5" s="33">
        <v>382063</v>
      </c>
      <c r="D5" s="80">
        <v>84300</v>
      </c>
      <c r="E5" s="146">
        <v>142061</v>
      </c>
      <c r="F5" s="2">
        <v>57903</v>
      </c>
      <c r="G5" s="146">
        <v>164090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2"/>
      <c r="G6" s="135"/>
      <c r="H6" s="10"/>
    </row>
    <row r="7" spans="1:8" x14ac:dyDescent="0.3">
      <c r="A7" s="4" t="s">
        <v>19</v>
      </c>
      <c r="B7" s="4"/>
      <c r="C7" s="146">
        <f>C4</f>
        <v>1108022</v>
      </c>
      <c r="D7" s="146">
        <f t="shared" ref="D7:F7" si="1">D4</f>
        <v>527100</v>
      </c>
      <c r="E7" s="146">
        <f t="shared" si="1"/>
        <v>400522</v>
      </c>
      <c r="F7" s="2">
        <f t="shared" si="1"/>
        <v>372320</v>
      </c>
      <c r="G7" s="146">
        <f>G4</f>
        <v>248997</v>
      </c>
      <c r="H7" s="10"/>
    </row>
    <row r="8" spans="1:8" x14ac:dyDescent="0.3">
      <c r="A8" s="4" t="s">
        <v>11</v>
      </c>
      <c r="B8" s="4"/>
      <c r="C8" s="13">
        <f>SUM(C9:C13)</f>
        <v>1311289</v>
      </c>
      <c r="D8" s="13">
        <f t="shared" ref="D8:F8" si="2">SUM(D9:D13)</f>
        <v>541700</v>
      </c>
      <c r="E8" s="13">
        <f t="shared" si="2"/>
        <v>466573</v>
      </c>
      <c r="F8" s="2">
        <f t="shared" si="2"/>
        <v>411277</v>
      </c>
      <c r="G8" s="13">
        <f>SUM(G9:G13)</f>
        <v>380579</v>
      </c>
      <c r="H8" s="10"/>
    </row>
    <row r="9" spans="1:8" x14ac:dyDescent="0.3">
      <c r="A9" s="1"/>
      <c r="B9" s="1" t="s">
        <v>7</v>
      </c>
      <c r="C9" s="33">
        <v>700566</v>
      </c>
      <c r="D9" s="155">
        <v>337800</v>
      </c>
      <c r="E9" s="80"/>
      <c r="F9" s="2">
        <v>243487</v>
      </c>
      <c r="G9" s="152">
        <v>152058</v>
      </c>
      <c r="H9" s="10"/>
    </row>
    <row r="10" spans="1:8" x14ac:dyDescent="0.3">
      <c r="A10" s="1"/>
      <c r="B10" s="1" t="s">
        <v>20</v>
      </c>
      <c r="C10" s="33">
        <v>382063</v>
      </c>
      <c r="D10" s="80">
        <v>84300</v>
      </c>
      <c r="E10" s="80">
        <v>142061</v>
      </c>
      <c r="F10" s="2">
        <v>57903</v>
      </c>
      <c r="G10" s="146">
        <v>164090</v>
      </c>
      <c r="H10" s="10"/>
    </row>
    <row r="11" spans="1:8" x14ac:dyDescent="0.3">
      <c r="A11" s="1"/>
      <c r="B11" s="1" t="s">
        <v>12</v>
      </c>
      <c r="C11" s="33"/>
      <c r="D11" s="82"/>
      <c r="E11" s="79"/>
      <c r="F11" s="2">
        <v>16981</v>
      </c>
      <c r="G11" s="158"/>
      <c r="H11" s="10"/>
    </row>
    <row r="12" spans="1:8" x14ac:dyDescent="0.3">
      <c r="A12" s="1"/>
      <c r="B12" s="1" t="s">
        <v>13</v>
      </c>
      <c r="C12" s="33"/>
      <c r="D12" s="82"/>
      <c r="E12" s="79"/>
      <c r="F12" s="2">
        <v>28916</v>
      </c>
      <c r="G12" s="158"/>
      <c r="H12" s="10"/>
    </row>
    <row r="13" spans="1:8" x14ac:dyDescent="0.3">
      <c r="A13" s="1"/>
      <c r="B13" s="1" t="s">
        <v>10</v>
      </c>
      <c r="C13" s="149">
        <v>228660</v>
      </c>
      <c r="D13" s="155">
        <v>119600</v>
      </c>
      <c r="E13" s="80">
        <v>324512</v>
      </c>
      <c r="F13" s="2">
        <v>63990</v>
      </c>
      <c r="G13" s="146">
        <v>64431</v>
      </c>
      <c r="H13" s="10"/>
    </row>
    <row r="14" spans="1:8" x14ac:dyDescent="0.3">
      <c r="A14" s="4" t="s">
        <v>24</v>
      </c>
      <c r="B14" s="4"/>
      <c r="C14" s="10">
        <f>C3-C6-C8</f>
        <v>178796</v>
      </c>
      <c r="D14" s="10">
        <f t="shared" ref="D14:F14" si="3">D3-D6-D8</f>
        <v>69700</v>
      </c>
      <c r="E14" s="10">
        <f t="shared" si="3"/>
        <v>76010</v>
      </c>
      <c r="F14" s="2">
        <f t="shared" si="3"/>
        <v>18946</v>
      </c>
      <c r="G14" s="10">
        <f>G3-G6-G8</f>
        <v>32508</v>
      </c>
      <c r="H14" s="10"/>
    </row>
    <row r="15" spans="1:8" x14ac:dyDescent="0.3">
      <c r="A15" s="18"/>
      <c r="B15" s="18" t="s">
        <v>16</v>
      </c>
      <c r="C15" s="147">
        <f>C14/C4</f>
        <v>0.16136502704819941</v>
      </c>
      <c r="D15" s="147">
        <f t="shared" ref="D15:F15" si="4">D14/D4</f>
        <v>0.13223297287042307</v>
      </c>
      <c r="E15" s="147">
        <f t="shared" si="4"/>
        <v>0.18977734057055543</v>
      </c>
      <c r="F15" s="34">
        <f t="shared" si="4"/>
        <v>5.0886334336055009E-2</v>
      </c>
      <c r="G15" s="147">
        <f>G14/G4</f>
        <v>0.13055578982879312</v>
      </c>
      <c r="H15" s="10"/>
    </row>
    <row r="16" spans="1:8" x14ac:dyDescent="0.3">
      <c r="A16" s="4" t="s">
        <v>26</v>
      </c>
      <c r="B16" s="4"/>
      <c r="C16" s="33">
        <v>109026</v>
      </c>
      <c r="D16" s="148">
        <v>47900</v>
      </c>
      <c r="E16" s="10">
        <v>62964</v>
      </c>
      <c r="F16" s="2">
        <v>-15969</v>
      </c>
      <c r="G16" s="146">
        <v>17405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2"/>
      <c r="G17" s="14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34"/>
      <c r="G18" s="145"/>
      <c r="H18" s="140"/>
    </row>
    <row r="19" spans="1:8" x14ac:dyDescent="0.3">
      <c r="A19" s="4" t="s">
        <v>17</v>
      </c>
      <c r="B19" s="4"/>
      <c r="C19" s="13">
        <v>11991000</v>
      </c>
      <c r="D19" s="10">
        <v>5400000</v>
      </c>
      <c r="E19" s="13">
        <v>3950000</v>
      </c>
      <c r="F19" s="2">
        <v>2600000</v>
      </c>
      <c r="G19" s="146">
        <v>1900000</v>
      </c>
      <c r="H19" s="156">
        <f>SUM(Table63810111213141516171819[[#This Row],[Quintiles]:[INC]])</f>
        <v>25841000</v>
      </c>
    </row>
    <row r="20" spans="1:8" x14ac:dyDescent="0.3">
      <c r="A20" s="15" t="s">
        <v>18</v>
      </c>
      <c r="B20" s="15"/>
      <c r="C20" s="35">
        <v>0.93</v>
      </c>
      <c r="D20" s="35">
        <v>1.19</v>
      </c>
      <c r="E20" s="35">
        <v>1.1000000000000001</v>
      </c>
      <c r="F20">
        <v>1.28</v>
      </c>
      <c r="G20">
        <v>1.2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0D7B-C76F-4C77-84AD-CF70D77273B1}">
  <dimension ref="A1:F16"/>
  <sheetViews>
    <sheetView topLeftCell="B1"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94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3541000</v>
      </c>
      <c r="C3" s="190">
        <v>1935200</v>
      </c>
      <c r="D3" s="190">
        <v>1360700</v>
      </c>
      <c r="E3" s="190">
        <v>351200</v>
      </c>
      <c r="F3" s="36">
        <f>SUM(TableQ42019353637384041424344[[#This Row],[IQVIA (Quintiles)]:[Medpace]])</f>
        <v>7188100</v>
      </c>
    </row>
    <row r="4" spans="1:6" x14ac:dyDescent="0.3">
      <c r="A4" s="4" t="s">
        <v>17</v>
      </c>
      <c r="B4" s="190">
        <v>25600000</v>
      </c>
      <c r="C4" s="190">
        <v>20000000</v>
      </c>
      <c r="D4" s="190">
        <v>11456000</v>
      </c>
      <c r="E4" s="190">
        <v>2200000</v>
      </c>
      <c r="F4" s="36">
        <f>SUM(TableQ42019353637384041424344[[#This Row],[IQVIA (Quintiles)]:[Medpace]])</f>
        <v>59256000</v>
      </c>
    </row>
    <row r="5" spans="1:6" x14ac:dyDescent="0.3">
      <c r="A5" s="15" t="s">
        <v>18</v>
      </c>
      <c r="B5" s="185">
        <v>1.34</v>
      </c>
      <c r="C5" s="181">
        <v>1.2</v>
      </c>
      <c r="D5" s="151">
        <v>1.24</v>
      </c>
      <c r="E5" s="151">
        <v>1.28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56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1521730</v>
      </c>
      <c r="D3" s="10">
        <f>SUM(D4:D6)</f>
        <v>604200</v>
      </c>
      <c r="E3" s="10">
        <f t="shared" ref="E3" si="0">SUM(E4:E6)</f>
        <v>577059</v>
      </c>
      <c r="F3" s="2">
        <f t="shared" ref="F3" si="1">SUM(F4:F6)</f>
        <v>428947</v>
      </c>
      <c r="G3" s="10">
        <f>SUM(G4:G6)</f>
        <v>402885</v>
      </c>
      <c r="H3" s="10">
        <f>SUM(Table638101112131415161718[[#This Row],[Quintiles]:[INC]])</f>
        <v>3534821</v>
      </c>
    </row>
    <row r="4" spans="1:8" x14ac:dyDescent="0.3">
      <c r="A4" s="1"/>
      <c r="B4" s="1" t="s">
        <v>5</v>
      </c>
      <c r="C4" s="150">
        <v>1128599</v>
      </c>
      <c r="D4" s="80">
        <v>518500</v>
      </c>
      <c r="E4" s="146">
        <v>403349</v>
      </c>
      <c r="F4" s="2">
        <v>362265</v>
      </c>
      <c r="G4" s="80">
        <v>241356</v>
      </c>
      <c r="H4" s="10"/>
    </row>
    <row r="5" spans="1:8" x14ac:dyDescent="0.3">
      <c r="A5" s="1"/>
      <c r="B5" s="1" t="s">
        <v>6</v>
      </c>
      <c r="C5" s="33">
        <v>393131</v>
      </c>
      <c r="D5" s="80">
        <v>85700</v>
      </c>
      <c r="E5" s="146">
        <v>173710</v>
      </c>
      <c r="F5" s="2">
        <v>66682</v>
      </c>
      <c r="G5" s="146">
        <v>161529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2"/>
      <c r="G6" s="135"/>
      <c r="H6" s="10"/>
    </row>
    <row r="7" spans="1:8" x14ac:dyDescent="0.3">
      <c r="A7" s="4" t="s">
        <v>19</v>
      </c>
      <c r="B7" s="4"/>
      <c r="C7" s="146">
        <f>C4</f>
        <v>1128599</v>
      </c>
      <c r="D7" s="146">
        <f t="shared" ref="D7:E7" si="2">D4</f>
        <v>518500</v>
      </c>
      <c r="E7" s="146">
        <f t="shared" si="2"/>
        <v>403349</v>
      </c>
      <c r="F7" s="2">
        <f t="shared" ref="F7" si="3">F4</f>
        <v>362265</v>
      </c>
      <c r="G7" s="146">
        <v>241356</v>
      </c>
      <c r="H7" s="10"/>
    </row>
    <row r="8" spans="1:8" x14ac:dyDescent="0.3">
      <c r="A8" s="4" t="s">
        <v>11</v>
      </c>
      <c r="B8" s="4"/>
      <c r="C8" s="13">
        <f>SUM(C9:C13)</f>
        <v>1343747</v>
      </c>
      <c r="D8" s="13">
        <f t="shared" ref="D8:E8" si="4">SUM(D9:D13)</f>
        <v>549600</v>
      </c>
      <c r="E8" s="13">
        <f t="shared" si="4"/>
        <v>501714</v>
      </c>
      <c r="F8" s="2">
        <f t="shared" ref="F8" si="5">SUM(F9:F13)</f>
        <v>385086</v>
      </c>
      <c r="G8" s="13">
        <f>SUM(G9:G13)</f>
        <v>363192</v>
      </c>
      <c r="H8" s="10"/>
    </row>
    <row r="9" spans="1:8" x14ac:dyDescent="0.3">
      <c r="A9" s="1"/>
      <c r="B9" s="1" t="s">
        <v>7</v>
      </c>
      <c r="C9" s="33">
        <v>696856</v>
      </c>
      <c r="D9" s="155">
        <v>332500</v>
      </c>
      <c r="E9" s="80">
        <v>229386</v>
      </c>
      <c r="F9" s="2">
        <v>234882</v>
      </c>
      <c r="G9" s="152">
        <v>143416</v>
      </c>
      <c r="H9" s="10"/>
    </row>
    <row r="10" spans="1:8" x14ac:dyDescent="0.3">
      <c r="A10" s="1"/>
      <c r="B10" s="1" t="s">
        <v>20</v>
      </c>
      <c r="C10" s="33">
        <v>393131</v>
      </c>
      <c r="D10" s="80">
        <v>85700</v>
      </c>
      <c r="E10" s="80">
        <v>173710</v>
      </c>
      <c r="F10" s="2">
        <v>66682</v>
      </c>
      <c r="G10" s="146">
        <v>161529</v>
      </c>
      <c r="H10" s="10"/>
    </row>
    <row r="11" spans="1:8" x14ac:dyDescent="0.3">
      <c r="A11" s="1"/>
      <c r="B11" s="1" t="s">
        <v>12</v>
      </c>
      <c r="C11" s="33">
        <v>244066</v>
      </c>
      <c r="D11" s="82">
        <v>97400</v>
      </c>
      <c r="E11" s="79">
        <v>83476</v>
      </c>
      <c r="F11" s="2">
        <v>63586</v>
      </c>
      <c r="G11" s="158">
        <v>43255</v>
      </c>
      <c r="H11" s="10"/>
    </row>
    <row r="12" spans="1:8" x14ac:dyDescent="0.3">
      <c r="A12" s="1"/>
      <c r="B12" s="1" t="s">
        <v>13</v>
      </c>
      <c r="C12" s="33">
        <v>7210</v>
      </c>
      <c r="D12" s="82">
        <v>17900</v>
      </c>
      <c r="E12" s="79">
        <v>15142</v>
      </c>
      <c r="F12" s="2">
        <f>19735+201</f>
        <v>19936</v>
      </c>
      <c r="G12" s="158">
        <f>219+715+4597+9461</f>
        <v>14992</v>
      </c>
      <c r="H12" s="10"/>
    </row>
    <row r="13" spans="1:8" x14ac:dyDescent="0.3">
      <c r="A13" s="1"/>
      <c r="B13" s="1" t="s">
        <v>10</v>
      </c>
      <c r="C13" s="149">
        <v>2484</v>
      </c>
      <c r="D13" s="155">
        <v>16100</v>
      </c>
      <c r="E13" s="80"/>
      <c r="F13" s="2"/>
      <c r="G13" s="146"/>
      <c r="H13" s="10"/>
    </row>
    <row r="14" spans="1:8" x14ac:dyDescent="0.3">
      <c r="A14" s="4" t="s">
        <v>24</v>
      </c>
      <c r="B14" s="4"/>
      <c r="C14" s="10">
        <f>C3-C6-C8</f>
        <v>177983</v>
      </c>
      <c r="D14" s="10">
        <f t="shared" ref="D14:E14" si="6">D3-D6-D8</f>
        <v>54600</v>
      </c>
      <c r="E14" s="10">
        <f t="shared" si="6"/>
        <v>75345</v>
      </c>
      <c r="F14" s="2">
        <f t="shared" ref="F14" si="7">F3-F6-F8</f>
        <v>43861</v>
      </c>
      <c r="G14" s="10">
        <f>G3-G6-G8</f>
        <v>39693</v>
      </c>
      <c r="H14" s="10"/>
    </row>
    <row r="15" spans="1:8" x14ac:dyDescent="0.3">
      <c r="A15" s="18"/>
      <c r="B15" s="18" t="s">
        <v>16</v>
      </c>
      <c r="C15" s="147">
        <f>C14/C4</f>
        <v>0.15770260296172511</v>
      </c>
      <c r="D15" s="147">
        <f t="shared" ref="D15:E15" si="8">D14/D4</f>
        <v>0.10530376084860174</v>
      </c>
      <c r="E15" s="147">
        <f t="shared" si="8"/>
        <v>0.18679852931332419</v>
      </c>
      <c r="F15" s="34">
        <f t="shared" ref="F15" si="9">F14/F4</f>
        <v>0.12107435164865499</v>
      </c>
      <c r="G15" s="147">
        <f>G14/G4</f>
        <v>0.16445831054541837</v>
      </c>
      <c r="H15" s="10"/>
    </row>
    <row r="16" spans="1:8" x14ac:dyDescent="0.3">
      <c r="A16" s="4" t="s">
        <v>26</v>
      </c>
      <c r="B16" s="4"/>
      <c r="C16" s="33">
        <v>108087</v>
      </c>
      <c r="D16" s="148">
        <v>39400</v>
      </c>
      <c r="E16" s="10">
        <v>63429</v>
      </c>
      <c r="F16" s="2">
        <v>28504</v>
      </c>
      <c r="G16" s="146">
        <v>30656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2"/>
      <c r="G17" s="14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34"/>
      <c r="G18" s="145"/>
      <c r="H18" s="140"/>
    </row>
    <row r="19" spans="1:8" x14ac:dyDescent="0.3">
      <c r="A19" s="4" t="s">
        <v>17</v>
      </c>
      <c r="B19" s="4"/>
      <c r="C19" s="13">
        <v>12400000</v>
      </c>
      <c r="D19" s="10">
        <v>5500000</v>
      </c>
      <c r="E19" s="13">
        <v>3900000</v>
      </c>
      <c r="F19" s="2">
        <v>2400000</v>
      </c>
      <c r="G19" s="146">
        <v>1810000</v>
      </c>
      <c r="H19" s="156">
        <f>SUM(Table638101112131415161718[[#This Row],[Quintiles]:[INC]])</f>
        <v>26010000</v>
      </c>
    </row>
    <row r="20" spans="1:8" x14ac:dyDescent="0.3">
      <c r="A20" s="15" t="s">
        <v>18</v>
      </c>
      <c r="B20" s="15"/>
      <c r="C20" s="35">
        <v>1.32</v>
      </c>
      <c r="D20" s="35">
        <v>1.24</v>
      </c>
      <c r="E20" s="35">
        <v>1.4</v>
      </c>
      <c r="F20">
        <v>1.27</v>
      </c>
      <c r="G20">
        <v>1.2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55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1424769</v>
      </c>
      <c r="D3" s="10">
        <f t="shared" ref="D3:G3" si="0">SUM(D4:D6)</f>
        <v>585200</v>
      </c>
      <c r="E3" s="10">
        <v>557095</v>
      </c>
      <c r="F3" s="10">
        <f t="shared" si="0"/>
        <v>403510</v>
      </c>
      <c r="G3" s="10">
        <f t="shared" si="0"/>
        <v>350145</v>
      </c>
      <c r="H3" s="10">
        <f>SUM(Table6381011121314151617[[#This Row],[Quintiles]:[INC]])</f>
        <v>3320719</v>
      </c>
    </row>
    <row r="4" spans="1:8" x14ac:dyDescent="0.3">
      <c r="A4" s="1"/>
      <c r="B4" s="1" t="s">
        <v>5</v>
      </c>
      <c r="C4" s="150">
        <v>1093480</v>
      </c>
      <c r="D4" s="80">
        <v>512100</v>
      </c>
      <c r="E4" s="146">
        <f>E3-E5</f>
        <v>394741</v>
      </c>
      <c r="F4" s="80">
        <v>345096</v>
      </c>
      <c r="G4" s="146">
        <v>234494</v>
      </c>
      <c r="H4" s="10"/>
    </row>
    <row r="5" spans="1:8" x14ac:dyDescent="0.3">
      <c r="A5" s="1"/>
      <c r="B5" s="1" t="s">
        <v>6</v>
      </c>
      <c r="C5" s="33">
        <v>331289</v>
      </c>
      <c r="D5" s="80">
        <v>73100</v>
      </c>
      <c r="E5" s="146">
        <v>162354</v>
      </c>
      <c r="F5" s="146">
        <v>58414</v>
      </c>
      <c r="G5" s="146">
        <v>115651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135"/>
      <c r="G6" s="146"/>
      <c r="H6" s="10"/>
    </row>
    <row r="7" spans="1:8" x14ac:dyDescent="0.3">
      <c r="A7" s="4" t="s">
        <v>19</v>
      </c>
      <c r="B7" s="4"/>
      <c r="C7" s="146">
        <f>C4</f>
        <v>1093480</v>
      </c>
      <c r="D7" s="146">
        <f t="shared" ref="D7:G7" si="1">D4</f>
        <v>512100</v>
      </c>
      <c r="E7" s="146">
        <v>394741</v>
      </c>
      <c r="F7" s="146">
        <f t="shared" si="1"/>
        <v>345096</v>
      </c>
      <c r="G7" s="146">
        <f t="shared" si="1"/>
        <v>234494</v>
      </c>
      <c r="H7" s="10"/>
    </row>
    <row r="8" spans="1:8" x14ac:dyDescent="0.3">
      <c r="A8" s="4" t="s">
        <v>11</v>
      </c>
      <c r="B8" s="4"/>
      <c r="C8" s="13">
        <f>SUM(C9:C13)</f>
        <v>1257746</v>
      </c>
      <c r="D8" s="13">
        <f t="shared" ref="D8:G8" si="2">SUM(D9:D13)</f>
        <v>549700</v>
      </c>
      <c r="E8" s="13">
        <v>323356</v>
      </c>
      <c r="F8" s="13">
        <f t="shared" si="2"/>
        <v>354331</v>
      </c>
      <c r="G8" s="13">
        <f t="shared" si="2"/>
        <v>305804</v>
      </c>
      <c r="H8" s="10"/>
    </row>
    <row r="9" spans="1:8" x14ac:dyDescent="0.3">
      <c r="A9" s="1"/>
      <c r="B9" s="1" t="s">
        <v>7</v>
      </c>
      <c r="C9" s="33">
        <v>683058</v>
      </c>
      <c r="D9" s="155">
        <v>343200</v>
      </c>
      <c r="E9" s="80">
        <v>226555</v>
      </c>
      <c r="F9" s="152">
        <v>212808</v>
      </c>
      <c r="G9" s="152">
        <v>135530</v>
      </c>
      <c r="H9" s="10"/>
    </row>
    <row r="10" spans="1:8" x14ac:dyDescent="0.3">
      <c r="A10" s="1"/>
      <c r="B10" s="1" t="s">
        <v>20</v>
      </c>
      <c r="C10" s="33">
        <v>331289</v>
      </c>
      <c r="D10" s="80">
        <v>73100</v>
      </c>
      <c r="E10" s="80">
        <v>162354</v>
      </c>
      <c r="F10" s="146">
        <v>58414</v>
      </c>
      <c r="G10" s="146">
        <v>115651</v>
      </c>
      <c r="H10" s="10"/>
    </row>
    <row r="11" spans="1:8" x14ac:dyDescent="0.3">
      <c r="A11" s="1"/>
      <c r="B11" s="1" t="s">
        <v>12</v>
      </c>
      <c r="C11" s="33">
        <v>231415</v>
      </c>
      <c r="D11" s="82">
        <v>94900</v>
      </c>
      <c r="E11" s="79">
        <v>82435</v>
      </c>
      <c r="F11" s="158">
        <v>83109</v>
      </c>
      <c r="G11" s="146">
        <v>40429</v>
      </c>
      <c r="H11" s="10"/>
    </row>
    <row r="12" spans="1:8" x14ac:dyDescent="0.3">
      <c r="A12" s="1"/>
      <c r="B12" s="1" t="s">
        <v>13</v>
      </c>
      <c r="C12" s="33">
        <v>11984</v>
      </c>
      <c r="D12" s="82">
        <v>38500</v>
      </c>
      <c r="E12" s="79">
        <v>14366</v>
      </c>
      <c r="F12" s="158"/>
      <c r="G12" s="146"/>
      <c r="H12" s="10"/>
    </row>
    <row r="13" spans="1:8" x14ac:dyDescent="0.3">
      <c r="A13" s="1"/>
      <c r="B13" s="1" t="s">
        <v>10</v>
      </c>
      <c r="C13" s="149"/>
      <c r="D13" s="155"/>
      <c r="E13" s="80"/>
      <c r="F13" s="146"/>
      <c r="G13" s="146">
        <v>14194</v>
      </c>
      <c r="H13" s="10"/>
    </row>
    <row r="14" spans="1:8" x14ac:dyDescent="0.3">
      <c r="A14" s="4" t="s">
        <v>24</v>
      </c>
      <c r="B14" s="4"/>
      <c r="C14" s="10">
        <f>C3-C6-C8</f>
        <v>167023</v>
      </c>
      <c r="D14" s="10">
        <f t="shared" ref="D14:G14" si="3">D3-D6-D8</f>
        <v>35500</v>
      </c>
      <c r="E14" s="10">
        <v>71385</v>
      </c>
      <c r="F14" s="10">
        <f t="shared" si="3"/>
        <v>49179</v>
      </c>
      <c r="G14" s="10">
        <f t="shared" si="3"/>
        <v>44341</v>
      </c>
      <c r="H14" s="10"/>
    </row>
    <row r="15" spans="1:8" x14ac:dyDescent="0.3">
      <c r="A15" s="18"/>
      <c r="B15" s="18" t="s">
        <v>16</v>
      </c>
      <c r="C15" s="147">
        <f>C14/C4</f>
        <v>0.15274444891538941</v>
      </c>
      <c r="D15" s="147">
        <f t="shared" ref="D15:G15" si="4">D14/D4</f>
        <v>6.9322397969146646E-2</v>
      </c>
      <c r="E15" s="147">
        <f t="shared" si="4"/>
        <v>0.18084009515099775</v>
      </c>
      <c r="F15" s="147">
        <f t="shared" si="4"/>
        <v>0.14250817163919605</v>
      </c>
      <c r="G15" s="147">
        <f t="shared" si="4"/>
        <v>0.18909225822409101</v>
      </c>
      <c r="H15" s="10"/>
    </row>
    <row r="16" spans="1:8" x14ac:dyDescent="0.3">
      <c r="A16" s="4" t="s">
        <v>26</v>
      </c>
      <c r="B16" s="4"/>
      <c r="C16" s="33">
        <v>108839</v>
      </c>
      <c r="D16" s="148">
        <v>24900</v>
      </c>
      <c r="E16" s="10">
        <v>61542</v>
      </c>
      <c r="F16" s="146">
        <v>49179</v>
      </c>
      <c r="G16" s="146">
        <v>37814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143"/>
      <c r="G17" s="15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145"/>
      <c r="G18" s="154"/>
      <c r="H18" s="140"/>
    </row>
    <row r="19" spans="1:8" x14ac:dyDescent="0.3">
      <c r="A19" s="4" t="s">
        <v>17</v>
      </c>
      <c r="B19" s="4"/>
      <c r="C19" s="13">
        <v>11748000</v>
      </c>
      <c r="D19" s="10">
        <v>5400000</v>
      </c>
      <c r="E19" s="13">
        <v>3800000</v>
      </c>
      <c r="F19" s="146">
        <v>2300000</v>
      </c>
      <c r="G19" s="146">
        <v>1800000</v>
      </c>
      <c r="H19" s="156">
        <f>SUM(Table6381011121314151617[[#This Row],[Quintiles]:[INC]])</f>
        <v>25048000</v>
      </c>
    </row>
    <row r="20" spans="1:8" x14ac:dyDescent="0.3">
      <c r="A20" s="15" t="s">
        <v>18</v>
      </c>
      <c r="B20" s="15"/>
      <c r="C20" s="35">
        <v>0.68</v>
      </c>
      <c r="D20" s="35">
        <v>1.19</v>
      </c>
      <c r="E20" s="35">
        <v>1.2</v>
      </c>
      <c r="G20">
        <v>1.4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53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1443527</v>
      </c>
      <c r="D3" s="10">
        <f t="shared" ref="D3:G3" si="0">SUM(D4:D6)</f>
        <v>605125</v>
      </c>
      <c r="E3" s="10">
        <f t="shared" si="0"/>
        <v>524098</v>
      </c>
      <c r="F3" s="10">
        <f t="shared" si="0"/>
        <v>392848</v>
      </c>
      <c r="G3" s="10">
        <f t="shared" si="0"/>
        <v>337292</v>
      </c>
      <c r="H3" s="10">
        <f>SUM(Table63810111213141516[[#This Row],[Quintiles]:[INC]])</f>
        <v>3302890</v>
      </c>
    </row>
    <row r="4" spans="1:8" x14ac:dyDescent="0.3">
      <c r="A4" s="1"/>
      <c r="B4" s="1" t="s">
        <v>5</v>
      </c>
      <c r="C4" s="150">
        <v>1074366</v>
      </c>
      <c r="D4" s="80">
        <v>522983</v>
      </c>
      <c r="E4" s="146">
        <v>388657</v>
      </c>
      <c r="F4" s="146">
        <v>336518</v>
      </c>
      <c r="G4" s="146">
        <v>227376</v>
      </c>
      <c r="H4" s="136"/>
    </row>
    <row r="5" spans="1:8" x14ac:dyDescent="0.3">
      <c r="A5" s="1"/>
      <c r="B5" s="1" t="s">
        <v>6</v>
      </c>
      <c r="C5" s="146">
        <v>369161</v>
      </c>
      <c r="D5" s="80">
        <v>82142</v>
      </c>
      <c r="E5" s="146">
        <v>135441</v>
      </c>
      <c r="F5" s="146">
        <v>56330</v>
      </c>
      <c r="G5" s="146">
        <v>109916</v>
      </c>
      <c r="H5" s="136"/>
    </row>
    <row r="6" spans="1:8" x14ac:dyDescent="0.3">
      <c r="A6" s="4"/>
      <c r="B6" s="4" t="s">
        <v>32</v>
      </c>
      <c r="C6" s="146"/>
      <c r="D6" s="134"/>
      <c r="E6" s="133"/>
      <c r="F6" s="135"/>
      <c r="G6" s="146"/>
      <c r="H6" s="136"/>
    </row>
    <row r="7" spans="1:8" x14ac:dyDescent="0.3">
      <c r="A7" s="4" t="s">
        <v>19</v>
      </c>
      <c r="B7" s="4"/>
      <c r="C7" s="146">
        <f>C4</f>
        <v>1074366</v>
      </c>
      <c r="D7" s="146">
        <f t="shared" ref="D7:G7" si="1">D4</f>
        <v>522983</v>
      </c>
      <c r="E7" s="146">
        <f t="shared" si="1"/>
        <v>388657</v>
      </c>
      <c r="F7" s="146">
        <f t="shared" si="1"/>
        <v>336518</v>
      </c>
      <c r="G7" s="146">
        <f t="shared" si="1"/>
        <v>227376</v>
      </c>
      <c r="H7" s="135"/>
    </row>
    <row r="8" spans="1:8" x14ac:dyDescent="0.3">
      <c r="A8" s="4" t="s">
        <v>11</v>
      </c>
      <c r="B8" s="4"/>
      <c r="C8" s="13">
        <f>SUM(C9:C13)</f>
        <v>1285138</v>
      </c>
      <c r="D8" s="13">
        <f t="shared" ref="D8:G8" si="2">SUM(D9:D13)</f>
        <v>565866</v>
      </c>
      <c r="E8" s="13">
        <f t="shared" si="2"/>
        <v>455967</v>
      </c>
      <c r="F8" s="13">
        <f t="shared" si="2"/>
        <v>354527</v>
      </c>
      <c r="G8" s="13">
        <f t="shared" si="2"/>
        <v>301353</v>
      </c>
      <c r="H8" s="137"/>
    </row>
    <row r="9" spans="1:8" x14ac:dyDescent="0.3">
      <c r="A9" s="1"/>
      <c r="B9" s="1" t="s">
        <v>7</v>
      </c>
      <c r="C9" s="149">
        <v>683845</v>
      </c>
      <c r="D9" s="155">
        <v>360059</v>
      </c>
      <c r="E9" s="80">
        <v>224961</v>
      </c>
      <c r="F9" s="152">
        <v>219877</v>
      </c>
      <c r="G9" s="152">
        <v>138010</v>
      </c>
      <c r="H9" s="136"/>
    </row>
    <row r="10" spans="1:8" x14ac:dyDescent="0.3">
      <c r="A10" s="1"/>
      <c r="B10" s="1" t="s">
        <v>20</v>
      </c>
      <c r="C10" s="149">
        <v>369161</v>
      </c>
      <c r="D10" s="155">
        <v>82142</v>
      </c>
      <c r="E10" s="80">
        <v>135441</v>
      </c>
      <c r="F10" s="146">
        <v>56330</v>
      </c>
      <c r="G10" s="146">
        <v>109916</v>
      </c>
      <c r="H10" s="136"/>
    </row>
    <row r="11" spans="1:8" x14ac:dyDescent="0.3">
      <c r="A11" s="1"/>
      <c r="B11" s="1" t="s">
        <v>12</v>
      </c>
      <c r="C11" s="149">
        <v>6234</v>
      </c>
      <c r="D11" s="138"/>
      <c r="E11" s="80">
        <v>14244</v>
      </c>
      <c r="F11" s="135"/>
      <c r="G11" s="146"/>
      <c r="H11" s="136"/>
    </row>
    <row r="12" spans="1:8" x14ac:dyDescent="0.3">
      <c r="A12" s="1"/>
      <c r="B12" s="1" t="s">
        <v>13</v>
      </c>
      <c r="C12" s="149"/>
      <c r="D12" s="138"/>
      <c r="E12" s="80"/>
      <c r="F12" s="135"/>
      <c r="G12" s="146"/>
      <c r="H12" s="136"/>
    </row>
    <row r="13" spans="1:8" x14ac:dyDescent="0.3">
      <c r="A13" s="1"/>
      <c r="B13" s="1" t="s">
        <v>10</v>
      </c>
      <c r="C13" s="149">
        <v>225898</v>
      </c>
      <c r="D13" s="155">
        <v>123665</v>
      </c>
      <c r="E13" s="80">
        <v>81321</v>
      </c>
      <c r="F13" s="146">
        <v>78320</v>
      </c>
      <c r="G13" s="146">
        <v>53427</v>
      </c>
      <c r="H13" s="136"/>
    </row>
    <row r="14" spans="1:8" x14ac:dyDescent="0.3">
      <c r="A14" s="4" t="s">
        <v>24</v>
      </c>
      <c r="B14" s="4"/>
      <c r="C14" s="10">
        <f>C3-C6-C8</f>
        <v>158389</v>
      </c>
      <c r="D14" s="10">
        <f t="shared" ref="D14:G14" si="3">D3-D6-D8</f>
        <v>39259</v>
      </c>
      <c r="E14" s="10">
        <f t="shared" si="3"/>
        <v>68131</v>
      </c>
      <c r="F14" s="10">
        <f t="shared" si="3"/>
        <v>38321</v>
      </c>
      <c r="G14" s="10">
        <f t="shared" si="3"/>
        <v>35939</v>
      </c>
      <c r="H14" s="133"/>
    </row>
    <row r="15" spans="1:8" x14ac:dyDescent="0.3">
      <c r="A15" s="18"/>
      <c r="B15" s="18" t="s">
        <v>16</v>
      </c>
      <c r="C15" s="147">
        <f>C14/C4</f>
        <v>0.14742555144150132</v>
      </c>
      <c r="D15" s="147">
        <f t="shared" ref="D15:G15" si="4">D14/D4</f>
        <v>7.5067449611172829E-2</v>
      </c>
      <c r="E15" s="147">
        <f t="shared" si="4"/>
        <v>0.17529852800798648</v>
      </c>
      <c r="F15" s="147">
        <f t="shared" si="4"/>
        <v>0.11387503788801788</v>
      </c>
      <c r="G15" s="147">
        <f t="shared" si="4"/>
        <v>0.15805977763704174</v>
      </c>
      <c r="H15" s="139"/>
    </row>
    <row r="16" spans="1:8" x14ac:dyDescent="0.3">
      <c r="A16" s="4" t="s">
        <v>26</v>
      </c>
      <c r="B16" s="4"/>
      <c r="C16" s="150">
        <v>84947</v>
      </c>
      <c r="D16" s="148">
        <v>34178</v>
      </c>
      <c r="E16" s="10">
        <v>58584</v>
      </c>
      <c r="F16" s="146">
        <v>12415</v>
      </c>
      <c r="G16" s="146">
        <v>23321</v>
      </c>
      <c r="H16" s="140"/>
    </row>
    <row r="17" spans="1:8" x14ac:dyDescent="0.3">
      <c r="A17" s="4" t="s">
        <v>15</v>
      </c>
      <c r="B17" s="4"/>
      <c r="C17" s="141"/>
      <c r="D17" s="133"/>
      <c r="E17" s="142"/>
      <c r="F17" s="143"/>
      <c r="G17" s="15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145"/>
      <c r="G18" s="154"/>
      <c r="H18" s="140"/>
    </row>
    <row r="19" spans="1:8" x14ac:dyDescent="0.3">
      <c r="A19" s="4" t="s">
        <v>17</v>
      </c>
      <c r="B19" s="4"/>
      <c r="C19" s="13">
        <v>11370000</v>
      </c>
      <c r="D19" s="10">
        <v>5300000</v>
      </c>
      <c r="E19" s="13">
        <v>3888000</v>
      </c>
      <c r="F19" s="146">
        <v>2331000</v>
      </c>
      <c r="G19" s="146">
        <v>1700000</v>
      </c>
      <c r="H19" s="156">
        <f>SUM(Table63810111213141516[[#This Row],[Quintiles]:[INC]])</f>
        <v>24589000</v>
      </c>
    </row>
    <row r="20" spans="1:8" x14ac:dyDescent="0.3">
      <c r="A20" s="15" t="s">
        <v>18</v>
      </c>
      <c r="B20" s="15"/>
      <c r="C20" s="35"/>
      <c r="D20" s="35">
        <v>1.19</v>
      </c>
      <c r="E20" s="35"/>
      <c r="G20" t="s">
        <v>52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"/>
  <sheetViews>
    <sheetView workbookViewId="0">
      <pane xSplit="2" topLeftCell="C1" activePane="topRight" state="frozen"/>
      <selection pane="topRight" activeCell="D3" sqref="D3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51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36">
        <f>SUM(C4:C6)</f>
        <v>1347593</v>
      </c>
      <c r="D3" s="36">
        <f t="shared" ref="D3:G3" si="0">SUM(D4:D6)</f>
        <v>576415</v>
      </c>
      <c r="E3" s="36">
        <f t="shared" si="0"/>
        <v>503366</v>
      </c>
      <c r="F3" s="36">
        <f t="shared" si="0"/>
        <v>388578</v>
      </c>
      <c r="G3" s="36">
        <f t="shared" si="0"/>
        <v>211500</v>
      </c>
      <c r="H3" s="36">
        <f>SUM(Table638101112131415[[#This Row],[Quintiles]:[INC]])</f>
        <v>3027452</v>
      </c>
    </row>
    <row r="4" spans="1:8" x14ac:dyDescent="0.3">
      <c r="A4" s="1"/>
      <c r="B4" s="1" t="s">
        <v>5</v>
      </c>
      <c r="C4" s="2">
        <v>1029974</v>
      </c>
      <c r="D4" s="79">
        <v>502033</v>
      </c>
      <c r="E4" s="2">
        <v>388231</v>
      </c>
      <c r="F4" s="2">
        <v>331968</v>
      </c>
      <c r="G4" s="2">
        <v>211500</v>
      </c>
      <c r="H4" s="129"/>
    </row>
    <row r="5" spans="1:8" x14ac:dyDescent="0.3">
      <c r="A5" s="1"/>
      <c r="B5" s="1" t="s">
        <v>6</v>
      </c>
      <c r="C5" s="2">
        <v>317619</v>
      </c>
      <c r="D5" s="79">
        <v>74382</v>
      </c>
      <c r="E5" s="2">
        <v>115135</v>
      </c>
      <c r="F5" s="131">
        <v>56610</v>
      </c>
      <c r="G5" s="131"/>
      <c r="H5" s="129"/>
    </row>
    <row r="6" spans="1:8" x14ac:dyDescent="0.3">
      <c r="A6" s="4"/>
      <c r="B6" s="4" t="s">
        <v>32</v>
      </c>
      <c r="C6" s="2"/>
      <c r="D6" s="79"/>
      <c r="E6" s="36"/>
      <c r="F6" s="2"/>
      <c r="G6" s="2"/>
      <c r="H6" s="129"/>
    </row>
    <row r="7" spans="1:8" x14ac:dyDescent="0.3">
      <c r="A7" s="4" t="s">
        <v>19</v>
      </c>
      <c r="B7" s="4"/>
      <c r="C7" s="2">
        <f>C4</f>
        <v>1029974</v>
      </c>
      <c r="D7" s="2">
        <f t="shared" ref="D7:G7" si="1">D4</f>
        <v>502033</v>
      </c>
      <c r="E7" s="2">
        <f t="shared" si="1"/>
        <v>388231</v>
      </c>
      <c r="F7" s="2">
        <f t="shared" si="1"/>
        <v>331968</v>
      </c>
      <c r="G7" s="2">
        <f t="shared" si="1"/>
        <v>211500</v>
      </c>
      <c r="H7" s="2"/>
    </row>
    <row r="8" spans="1:8" x14ac:dyDescent="0.3">
      <c r="A8" s="4" t="s">
        <v>11</v>
      </c>
      <c r="B8" s="4"/>
      <c r="C8" s="30">
        <f>SUM(C9:C13)</f>
        <v>1204376</v>
      </c>
      <c r="D8" s="30">
        <f t="shared" ref="D8:G8" si="2">SUM(D9:D13)</f>
        <v>522186</v>
      </c>
      <c r="E8" s="30">
        <f t="shared" si="2"/>
        <v>436693</v>
      </c>
      <c r="F8" s="30">
        <f t="shared" si="2"/>
        <v>355641</v>
      </c>
      <c r="G8" s="30">
        <f t="shared" si="2"/>
        <v>124800</v>
      </c>
      <c r="H8" s="30"/>
    </row>
    <row r="9" spans="1:8" x14ac:dyDescent="0.3">
      <c r="A9" s="1"/>
      <c r="B9" s="1" t="s">
        <v>7</v>
      </c>
      <c r="C9" s="2">
        <v>661827</v>
      </c>
      <c r="D9" s="82">
        <v>337954</v>
      </c>
      <c r="E9" s="79">
        <v>228078</v>
      </c>
      <c r="F9" s="130">
        <v>218961</v>
      </c>
      <c r="G9" s="130">
        <v>124800</v>
      </c>
      <c r="H9" s="129"/>
    </row>
    <row r="10" spans="1:8" x14ac:dyDescent="0.3">
      <c r="A10" s="1"/>
      <c r="B10" s="1" t="s">
        <v>20</v>
      </c>
      <c r="C10" s="2">
        <v>317619</v>
      </c>
      <c r="D10" s="82">
        <v>74382</v>
      </c>
      <c r="E10" s="79">
        <v>115135</v>
      </c>
      <c r="F10" s="2">
        <v>56610</v>
      </c>
      <c r="G10" s="2"/>
      <c r="H10" s="129"/>
    </row>
    <row r="11" spans="1:8" x14ac:dyDescent="0.3">
      <c r="A11" s="1"/>
      <c r="B11" s="1" t="s">
        <v>12</v>
      </c>
      <c r="C11" s="2"/>
      <c r="D11" s="82"/>
      <c r="E11" s="79"/>
      <c r="F11" s="2"/>
      <c r="G11" s="2"/>
      <c r="H11" s="129"/>
    </row>
    <row r="12" spans="1:8" x14ac:dyDescent="0.3">
      <c r="A12" s="1"/>
      <c r="B12" s="1" t="s">
        <v>13</v>
      </c>
      <c r="C12" s="2"/>
      <c r="D12" s="82"/>
      <c r="E12" s="79"/>
      <c r="F12" s="2"/>
      <c r="G12" s="2"/>
      <c r="H12" s="129"/>
    </row>
    <row r="13" spans="1:8" x14ac:dyDescent="0.3">
      <c r="A13" s="1"/>
      <c r="B13" s="1" t="s">
        <v>10</v>
      </c>
      <c r="C13" s="2">
        <f>219606+5324</f>
        <v>224930</v>
      </c>
      <c r="D13" s="82">
        <v>109850</v>
      </c>
      <c r="E13" s="79">
        <v>93480</v>
      </c>
      <c r="F13" s="2">
        <v>80070</v>
      </c>
      <c r="G13" s="2"/>
      <c r="H13" s="129"/>
    </row>
    <row r="14" spans="1:8" x14ac:dyDescent="0.3">
      <c r="A14" s="4" t="s">
        <v>24</v>
      </c>
      <c r="B14" s="4"/>
      <c r="C14" s="36">
        <f>C3-C6-C8</f>
        <v>143217</v>
      </c>
      <c r="D14" s="36">
        <f t="shared" ref="D14:G14" si="3">D3-D6-D8</f>
        <v>54229</v>
      </c>
      <c r="E14" s="36">
        <f t="shared" si="3"/>
        <v>66673</v>
      </c>
      <c r="F14" s="36">
        <f t="shared" si="3"/>
        <v>32937</v>
      </c>
      <c r="G14" s="36">
        <f t="shared" si="3"/>
        <v>86700</v>
      </c>
      <c r="H14" s="36"/>
    </row>
    <row r="15" spans="1:8" x14ac:dyDescent="0.3">
      <c r="A15" s="18"/>
      <c r="B15" s="18" t="s">
        <v>16</v>
      </c>
      <c r="C15" s="41">
        <f>C14/C4</f>
        <v>0.13904914104627883</v>
      </c>
      <c r="D15" s="41">
        <f t="shared" ref="D15:G15" si="4">D14/D4</f>
        <v>0.10801879557718318</v>
      </c>
      <c r="E15" s="41">
        <f t="shared" si="4"/>
        <v>0.17173538434591776</v>
      </c>
      <c r="F15" s="41">
        <f t="shared" si="4"/>
        <v>9.9217394447657606E-2</v>
      </c>
      <c r="G15" s="41">
        <f t="shared" si="4"/>
        <v>0.40992907801418438</v>
      </c>
      <c r="H15" s="41"/>
    </row>
    <row r="16" spans="1:8" x14ac:dyDescent="0.3">
      <c r="A16" s="4" t="s">
        <v>26</v>
      </c>
      <c r="B16" s="4"/>
      <c r="C16" s="30">
        <v>86431</v>
      </c>
      <c r="D16" s="77">
        <v>37741</v>
      </c>
      <c r="E16" s="36">
        <v>55869</v>
      </c>
      <c r="F16" s="2">
        <v>17187</v>
      </c>
      <c r="G16" s="2">
        <v>26000</v>
      </c>
      <c r="H16" s="128"/>
    </row>
    <row r="17" spans="1:8" x14ac:dyDescent="0.3">
      <c r="A17" s="4" t="s">
        <v>15</v>
      </c>
      <c r="B17" s="4"/>
      <c r="C17" s="29"/>
      <c r="D17" s="36"/>
      <c r="E17" s="78"/>
      <c r="F17" s="132"/>
      <c r="G17" s="132"/>
      <c r="H17" s="128"/>
    </row>
    <row r="18" spans="1:8" x14ac:dyDescent="0.3">
      <c r="A18" s="52"/>
      <c r="B18" s="52" t="s">
        <v>16</v>
      </c>
      <c r="C18" s="48"/>
      <c r="D18" s="48"/>
      <c r="E18" s="48"/>
      <c r="F18" s="44"/>
      <c r="G18" s="44"/>
      <c r="H18" s="128"/>
    </row>
    <row r="19" spans="1:8" x14ac:dyDescent="0.3">
      <c r="A19" s="4" t="s">
        <v>17</v>
      </c>
      <c r="B19" s="4"/>
      <c r="C19" s="30">
        <v>11064000</v>
      </c>
      <c r="D19" s="36">
        <v>5190000</v>
      </c>
      <c r="E19" s="30">
        <v>4050000</v>
      </c>
      <c r="F19" s="2">
        <v>2200000</v>
      </c>
      <c r="G19" s="2">
        <v>1595000</v>
      </c>
      <c r="H19" s="128">
        <f>SUM(Table638101112131415[[#This Row],[Quintiles]:[INC]])</f>
        <v>24099000</v>
      </c>
    </row>
    <row r="20" spans="1:8" x14ac:dyDescent="0.3">
      <c r="A20" s="15" t="s">
        <v>18</v>
      </c>
      <c r="B20" s="15"/>
      <c r="C20" s="35"/>
      <c r="D20" s="35"/>
      <c r="E20" s="35"/>
      <c r="G20" t="s">
        <v>52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workbookViewId="0"/>
  </sheetViews>
  <sheetFormatPr defaultColWidth="8.77734375" defaultRowHeight="14.4" x14ac:dyDescent="0.3"/>
  <cols>
    <col min="1" max="1" width="28.77734375" customWidth="1"/>
    <col min="2" max="3" width="23" customWidth="1"/>
    <col min="4" max="4" width="20" customWidth="1"/>
    <col min="5" max="5" width="21.109375" customWidth="1"/>
    <col min="6" max="6" width="22.44140625" customWidth="1"/>
    <col min="7" max="9" width="20" customWidth="1"/>
    <col min="10" max="10" width="21.109375" customWidth="1"/>
  </cols>
  <sheetData>
    <row r="1" spans="1:10" ht="19.8" x14ac:dyDescent="0.4">
      <c r="A1" s="32" t="s">
        <v>50</v>
      </c>
      <c r="B1" s="1"/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33</v>
      </c>
      <c r="I2" t="s">
        <v>49</v>
      </c>
      <c r="J2" t="s">
        <v>45</v>
      </c>
    </row>
    <row r="3" spans="1:10" x14ac:dyDescent="0.3">
      <c r="A3" s="4" t="s">
        <v>14</v>
      </c>
      <c r="B3" s="4"/>
      <c r="C3" s="36">
        <f>SUM(C4:C6)</f>
        <v>1411088</v>
      </c>
      <c r="D3" s="36">
        <f t="shared" ref="D3:I3" si="0">SUM(D4:D6)</f>
        <v>585124</v>
      </c>
      <c r="E3" s="36">
        <f t="shared" si="0"/>
        <v>675232</v>
      </c>
      <c r="F3" s="36">
        <f t="shared" si="0"/>
        <v>528211</v>
      </c>
      <c r="G3" s="36">
        <f t="shared" si="0"/>
        <v>329548</v>
      </c>
      <c r="H3" s="36">
        <f t="shared" si="0"/>
        <v>369963</v>
      </c>
      <c r="I3" s="36">
        <f t="shared" si="0"/>
        <v>327655</v>
      </c>
      <c r="J3" s="129">
        <f>SUM(Table6381011121314[[#This Row],[Quintiles]:[INC]])</f>
        <v>4226821</v>
      </c>
    </row>
    <row r="4" spans="1:10" x14ac:dyDescent="0.3">
      <c r="A4" s="1"/>
      <c r="B4" s="1" t="s">
        <v>5</v>
      </c>
      <c r="C4" s="2">
        <v>1064045</v>
      </c>
      <c r="D4" s="79">
        <v>510595</v>
      </c>
      <c r="E4" s="125">
        <v>634419</v>
      </c>
      <c r="F4" s="2">
        <v>390073</v>
      </c>
      <c r="G4" s="2">
        <v>329548</v>
      </c>
      <c r="H4" s="2">
        <v>323759</v>
      </c>
      <c r="I4" s="2">
        <v>213725</v>
      </c>
      <c r="J4" s="129"/>
    </row>
    <row r="5" spans="1:10" x14ac:dyDescent="0.3">
      <c r="A5" s="1"/>
      <c r="B5" s="1" t="s">
        <v>6</v>
      </c>
      <c r="C5" s="2">
        <v>347043</v>
      </c>
      <c r="D5" s="79">
        <v>74529</v>
      </c>
      <c r="E5" s="125">
        <v>40813</v>
      </c>
      <c r="F5" s="2">
        <v>138138</v>
      </c>
      <c r="G5" s="125"/>
      <c r="H5" s="131">
        <v>46204</v>
      </c>
      <c r="I5" s="131">
        <v>113930</v>
      </c>
      <c r="J5" s="129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2"/>
      <c r="I6" s="2"/>
      <c r="J6" s="129"/>
    </row>
    <row r="7" spans="1:10" x14ac:dyDescent="0.3">
      <c r="A7" s="4" t="s">
        <v>19</v>
      </c>
      <c r="B7" s="4"/>
      <c r="C7" s="2">
        <f>C4</f>
        <v>1064045</v>
      </c>
      <c r="D7" s="2">
        <f t="shared" ref="D7:I7" si="1">D4</f>
        <v>510595</v>
      </c>
      <c r="E7" s="2">
        <f t="shared" si="1"/>
        <v>634419</v>
      </c>
      <c r="F7" s="2">
        <f t="shared" si="1"/>
        <v>390073</v>
      </c>
      <c r="G7" s="2">
        <f t="shared" si="1"/>
        <v>329548</v>
      </c>
      <c r="H7" s="2">
        <f t="shared" si="1"/>
        <v>323759</v>
      </c>
      <c r="I7" s="2">
        <f t="shared" si="1"/>
        <v>213725</v>
      </c>
      <c r="J7" s="129"/>
    </row>
    <row r="8" spans="1:10" x14ac:dyDescent="0.3">
      <c r="A8" s="4" t="s">
        <v>11</v>
      </c>
      <c r="B8" s="4"/>
      <c r="C8" s="30">
        <f>SUM(C9:C13)</f>
        <v>1252156</v>
      </c>
      <c r="D8" s="30">
        <f t="shared" ref="D8:I8" si="2">SUM(D9:D13)</f>
        <v>526342</v>
      </c>
      <c r="E8" s="30">
        <f t="shared" si="2"/>
        <v>603151</v>
      </c>
      <c r="F8" s="30">
        <f t="shared" si="2"/>
        <v>467774</v>
      </c>
      <c r="G8" s="30">
        <f>G3-G6-G14</f>
        <v>288781</v>
      </c>
      <c r="H8" s="30">
        <f t="shared" si="2"/>
        <v>358256</v>
      </c>
      <c r="I8" s="30">
        <f t="shared" si="2"/>
        <v>309202</v>
      </c>
      <c r="J8" s="129"/>
    </row>
    <row r="9" spans="1:10" x14ac:dyDescent="0.3">
      <c r="A9" s="1"/>
      <c r="B9" s="1" t="s">
        <v>7</v>
      </c>
      <c r="C9" s="2">
        <v>674819</v>
      </c>
      <c r="D9" s="82">
        <v>328328</v>
      </c>
      <c r="E9" s="125">
        <v>435184</v>
      </c>
      <c r="F9" s="79">
        <v>229876</v>
      </c>
      <c r="G9" s="36"/>
      <c r="H9" s="130">
        <v>214943</v>
      </c>
      <c r="I9" s="130">
        <v>133957</v>
      </c>
      <c r="J9" s="129"/>
    </row>
    <row r="10" spans="1:10" x14ac:dyDescent="0.3">
      <c r="A10" s="1"/>
      <c r="B10" s="1" t="s">
        <v>20</v>
      </c>
      <c r="C10" s="2">
        <v>347043</v>
      </c>
      <c r="D10" s="82">
        <v>74529</v>
      </c>
      <c r="E10" s="125">
        <v>40813</v>
      </c>
      <c r="F10" s="79">
        <v>138138</v>
      </c>
      <c r="G10" s="2"/>
      <c r="H10" s="2">
        <v>46204</v>
      </c>
      <c r="I10" s="2">
        <v>113930</v>
      </c>
      <c r="J10" s="129"/>
    </row>
    <row r="11" spans="1:10" x14ac:dyDescent="0.3">
      <c r="A11" s="1"/>
      <c r="B11" s="1" t="s">
        <v>12</v>
      </c>
      <c r="C11" s="2"/>
      <c r="D11" s="82"/>
      <c r="E11" s="125"/>
      <c r="F11" s="79"/>
      <c r="G11" s="2"/>
      <c r="H11" s="2"/>
      <c r="I11" s="2"/>
      <c r="J11" s="129"/>
    </row>
    <row r="12" spans="1:10" x14ac:dyDescent="0.3">
      <c r="A12" s="1"/>
      <c r="B12" s="1" t="s">
        <v>13</v>
      </c>
      <c r="C12" s="2"/>
      <c r="D12" s="82"/>
      <c r="E12" s="125"/>
      <c r="F12" s="79"/>
      <c r="G12" s="2"/>
      <c r="H12" s="2"/>
      <c r="I12" s="2"/>
      <c r="J12" s="129"/>
    </row>
    <row r="13" spans="1:10" x14ac:dyDescent="0.3">
      <c r="A13" s="1"/>
      <c r="B13" s="1" t="s">
        <v>10</v>
      </c>
      <c r="C13" s="2">
        <f>225055+5239</f>
        <v>230294</v>
      </c>
      <c r="D13" s="82">
        <f>102758+17528+3569-370</f>
        <v>123485</v>
      </c>
      <c r="E13" s="125">
        <f>92494+34660</f>
        <v>127154</v>
      </c>
      <c r="F13" s="79">
        <f>85425+14335</f>
        <v>99760</v>
      </c>
      <c r="G13" s="2"/>
      <c r="H13" s="2">
        <f>73689+23424-4</f>
        <v>97109</v>
      </c>
      <c r="I13" s="2">
        <f>40811+66+5860+4991+9587</f>
        <v>61315</v>
      </c>
      <c r="J13" s="129"/>
    </row>
    <row r="14" spans="1:10" x14ac:dyDescent="0.3">
      <c r="A14" s="4" t="s">
        <v>24</v>
      </c>
      <c r="B14" s="4"/>
      <c r="C14" s="36">
        <f>C3-C6-C8</f>
        <v>158932</v>
      </c>
      <c r="D14" s="36">
        <f t="shared" ref="D14:I14" si="3">D3-D6-D8</f>
        <v>58782</v>
      </c>
      <c r="E14" s="36">
        <f t="shared" si="3"/>
        <v>72081</v>
      </c>
      <c r="F14" s="36">
        <f t="shared" si="3"/>
        <v>60437</v>
      </c>
      <c r="G14" s="36">
        <v>40767</v>
      </c>
      <c r="H14" s="36">
        <f t="shared" si="3"/>
        <v>11707</v>
      </c>
      <c r="I14" s="36">
        <f t="shared" si="3"/>
        <v>18453</v>
      </c>
      <c r="J14" s="129"/>
    </row>
    <row r="15" spans="1:10" x14ac:dyDescent="0.3">
      <c r="A15" s="18"/>
      <c r="B15" s="18" t="s">
        <v>16</v>
      </c>
      <c r="C15" s="41">
        <f>C14/C4</f>
        <v>0.14936586328585727</v>
      </c>
      <c r="D15" s="41">
        <f t="shared" ref="D15:I15" si="4">D14/D4</f>
        <v>0.11512451159921268</v>
      </c>
      <c r="E15" s="41">
        <f t="shared" si="4"/>
        <v>0.11361734122086507</v>
      </c>
      <c r="F15" s="41">
        <f t="shared" si="4"/>
        <v>0.15493766551389099</v>
      </c>
      <c r="G15" s="41">
        <f t="shared" si="4"/>
        <v>0.12370580310000365</v>
      </c>
      <c r="H15" s="41">
        <f t="shared" si="4"/>
        <v>3.6159612551311317E-2</v>
      </c>
      <c r="I15" s="41">
        <f t="shared" si="4"/>
        <v>8.6339922797988064E-2</v>
      </c>
      <c r="J15" s="128"/>
    </row>
    <row r="16" spans="1:10" x14ac:dyDescent="0.3">
      <c r="A16" s="4" t="s">
        <v>26</v>
      </c>
      <c r="B16" s="4"/>
      <c r="C16" s="30">
        <v>88444</v>
      </c>
      <c r="D16" s="77">
        <v>40072</v>
      </c>
      <c r="E16" s="125">
        <v>52000</v>
      </c>
      <c r="F16" s="36">
        <v>53970</v>
      </c>
      <c r="G16" s="30"/>
      <c r="H16" s="2">
        <v>18600</v>
      </c>
      <c r="I16" s="2">
        <v>15200</v>
      </c>
      <c r="J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32"/>
      <c r="I17" s="132"/>
      <c r="J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30"/>
      <c r="H18" s="44"/>
      <c r="I18" s="44"/>
      <c r="J18" s="128"/>
    </row>
    <row r="19" spans="1:10" x14ac:dyDescent="0.3">
      <c r="A19" s="4" t="s">
        <v>17</v>
      </c>
      <c r="B19" s="4"/>
      <c r="C19" s="30">
        <v>11240000</v>
      </c>
      <c r="D19" s="77">
        <v>5000000</v>
      </c>
      <c r="E19" s="125">
        <v>6790000</v>
      </c>
      <c r="F19" s="30">
        <v>3600000</v>
      </c>
      <c r="G19" s="30">
        <v>213900</v>
      </c>
      <c r="H19" s="2">
        <v>2100000</v>
      </c>
      <c r="I19" s="2">
        <v>1600000</v>
      </c>
      <c r="J19" s="128">
        <f>SUM(Table6381011121314[[#This Row],[Quintiles]:[INC]])</f>
        <v>30543900</v>
      </c>
    </row>
    <row r="20" spans="1:10" x14ac:dyDescent="0.3">
      <c r="A20" s="15" t="s">
        <v>18</v>
      </c>
      <c r="B20" s="15"/>
      <c r="C20" s="35"/>
      <c r="D20" s="35"/>
      <c r="E20" s="126"/>
      <c r="F20" s="35"/>
      <c r="G20" s="35"/>
      <c r="J20" s="128"/>
    </row>
    <row r="21" spans="1:10" x14ac:dyDescent="0.3">
      <c r="A21" s="15"/>
      <c r="B21" s="15"/>
      <c r="C21" s="35"/>
      <c r="E21" s="85"/>
      <c r="F21" s="85"/>
      <c r="G21" s="85"/>
      <c r="H21" s="85"/>
      <c r="I21" s="2"/>
      <c r="J21" s="129">
        <f>SUM(Table6381011121314[[#This Row],[Quintiles]:[INC]])</f>
        <v>0</v>
      </c>
    </row>
    <row r="45" spans="6:6" x14ac:dyDescent="0.3">
      <c r="F45" s="151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21.44140625" customWidth="1"/>
    <col min="8" max="8" width="19.109375" customWidth="1"/>
    <col min="9" max="9" width="29.44140625" style="1" customWidth="1"/>
    <col min="10" max="10" width="21.44140625" customWidth="1"/>
  </cols>
  <sheetData>
    <row r="1" spans="1:10" ht="19.8" x14ac:dyDescent="0.4">
      <c r="A1" s="32" t="s">
        <v>48</v>
      </c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45</v>
      </c>
    </row>
    <row r="3" spans="1:10" x14ac:dyDescent="0.3">
      <c r="A3" s="4" t="s">
        <v>14</v>
      </c>
      <c r="B3" s="4"/>
      <c r="C3" s="36">
        <f>SUM(C4:C6)</f>
        <v>1400034</v>
      </c>
      <c r="D3" s="36">
        <f>SUM(D4:D6)</f>
        <v>573689</v>
      </c>
      <c r="E3" s="36">
        <f>SUM(E4:E6)</f>
        <v>670997</v>
      </c>
      <c r="F3" s="36">
        <f>SUM(F4:F6)</f>
        <v>519127</v>
      </c>
      <c r="G3" s="36">
        <v>327567</v>
      </c>
      <c r="H3" s="128">
        <f>Table63810111213[[#This Row],[Quintiles]]+Table63810111213[[#This Row],[Parexel]]+Table63810111213[[#This Row],[Covance]]+Table63810111213[[#This Row],[Icon]]+Table63810111213[[#This Row],[Charles River]]</f>
        <v>3491414</v>
      </c>
      <c r="I3" s="127"/>
      <c r="J3" s="2"/>
    </row>
    <row r="4" spans="1:10" x14ac:dyDescent="0.3">
      <c r="B4" s="1" t="s">
        <v>5</v>
      </c>
      <c r="C4" s="2">
        <v>1061013</v>
      </c>
      <c r="D4" s="79">
        <v>491696</v>
      </c>
      <c r="E4" s="125">
        <v>627075</v>
      </c>
      <c r="F4" s="129">
        <v>387589</v>
      </c>
      <c r="G4" s="2">
        <v>327567</v>
      </c>
      <c r="H4" s="128"/>
    </row>
    <row r="5" spans="1:10" x14ac:dyDescent="0.3">
      <c r="B5" s="1" t="s">
        <v>6</v>
      </c>
      <c r="C5" s="2">
        <v>339021</v>
      </c>
      <c r="D5" s="79">
        <v>81993</v>
      </c>
      <c r="E5" s="125">
        <v>43922</v>
      </c>
      <c r="F5" s="129">
        <v>131538</v>
      </c>
      <c r="G5" s="125"/>
      <c r="H5" s="128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128"/>
    </row>
    <row r="7" spans="1:10" x14ac:dyDescent="0.3">
      <c r="A7" s="4" t="s">
        <v>19</v>
      </c>
      <c r="B7" s="4"/>
      <c r="C7" s="2">
        <f>C4</f>
        <v>1061013</v>
      </c>
      <c r="D7" s="2">
        <f>D4</f>
        <v>491696</v>
      </c>
      <c r="E7" s="2">
        <f>E4</f>
        <v>627075</v>
      </c>
      <c r="F7" s="2">
        <f>F4</f>
        <v>387589</v>
      </c>
      <c r="G7" s="2">
        <f>G4</f>
        <v>327567</v>
      </c>
      <c r="H7" s="128"/>
    </row>
    <row r="8" spans="1:10" x14ac:dyDescent="0.3">
      <c r="A8" s="4" t="s">
        <v>11</v>
      </c>
      <c r="B8" s="4"/>
      <c r="C8" s="30">
        <f>SUM(C9:C13)</f>
        <v>1250892</v>
      </c>
      <c r="D8" s="30">
        <f>SUM(D9:D13)</f>
        <v>520109</v>
      </c>
      <c r="E8" s="30">
        <f>SUM(E9:E13)</f>
        <v>594478</v>
      </c>
      <c r="F8" s="30">
        <f>SUM(F9:F13)</f>
        <v>459704</v>
      </c>
      <c r="G8" s="30">
        <f t="shared" ref="G8" si="0">SUM(G9:G13)</f>
        <v>281395</v>
      </c>
      <c r="H8" s="128"/>
    </row>
    <row r="9" spans="1:10" x14ac:dyDescent="0.3">
      <c r="B9" s="1" t="s">
        <v>7</v>
      </c>
      <c r="C9" s="2">
        <v>691051</v>
      </c>
      <c r="D9" s="82">
        <v>318819</v>
      </c>
      <c r="E9" s="125">
        <v>431006</v>
      </c>
      <c r="F9" s="79">
        <v>229963</v>
      </c>
      <c r="G9" s="36">
        <v>209299</v>
      </c>
      <c r="H9" s="128"/>
    </row>
    <row r="10" spans="1:10" x14ac:dyDescent="0.3">
      <c r="B10" s="1" t="s">
        <v>20</v>
      </c>
      <c r="C10" s="2">
        <v>339021</v>
      </c>
      <c r="D10" s="82">
        <v>81993</v>
      </c>
      <c r="E10" s="125">
        <v>43922</v>
      </c>
      <c r="F10" s="79">
        <v>131538</v>
      </c>
      <c r="G10" s="2"/>
      <c r="H10" s="128"/>
    </row>
    <row r="11" spans="1:10" x14ac:dyDescent="0.3">
      <c r="B11" s="1" t="s">
        <v>12</v>
      </c>
      <c r="C11" s="2"/>
      <c r="D11" s="82"/>
      <c r="E11" s="125"/>
      <c r="F11" s="79"/>
      <c r="G11" s="2"/>
      <c r="H11" s="128"/>
    </row>
    <row r="12" spans="1:10" x14ac:dyDescent="0.3">
      <c r="B12" s="1" t="s">
        <v>13</v>
      </c>
      <c r="C12" s="2"/>
      <c r="D12" s="82"/>
      <c r="E12" s="125"/>
      <c r="F12" s="79"/>
      <c r="G12" s="2"/>
      <c r="H12" s="128"/>
    </row>
    <row r="13" spans="1:10" x14ac:dyDescent="0.3">
      <c r="B13" s="1" t="s">
        <v>10</v>
      </c>
      <c r="C13" s="2">
        <f>219027+1793</f>
        <v>220820</v>
      </c>
      <c r="D13" s="82">
        <f>98913+16898+3486</f>
        <v>119297</v>
      </c>
      <c r="E13" s="125">
        <f>84373+35177</f>
        <v>119550</v>
      </c>
      <c r="F13" s="79">
        <f>84466+13737</f>
        <v>98203</v>
      </c>
      <c r="G13" s="2">
        <f>64476+7620</f>
        <v>72096</v>
      </c>
      <c r="H13" s="128"/>
    </row>
    <row r="14" spans="1:10" x14ac:dyDescent="0.3">
      <c r="A14" s="4" t="s">
        <v>24</v>
      </c>
      <c r="B14" s="4"/>
      <c r="C14" s="36">
        <f>C3-C6-C8</f>
        <v>149142</v>
      </c>
      <c r="D14" s="36">
        <f>D3-D6-D8</f>
        <v>53580</v>
      </c>
      <c r="E14" s="36">
        <f>E3-E6-E8</f>
        <v>76519</v>
      </c>
      <c r="F14" s="36">
        <f>F3-F6-F8</f>
        <v>59423</v>
      </c>
      <c r="G14" s="36">
        <f>G3-G6-G8</f>
        <v>46172</v>
      </c>
      <c r="H14" s="128"/>
    </row>
    <row r="15" spans="1:10" x14ac:dyDescent="0.3">
      <c r="A15" s="18"/>
      <c r="B15" s="18" t="s">
        <v>16</v>
      </c>
      <c r="C15" s="41">
        <f>C14/C4</f>
        <v>0.14056566696166775</v>
      </c>
      <c r="D15" s="41">
        <f>D14/D4</f>
        <v>0.10896976993914939</v>
      </c>
      <c r="E15" s="41">
        <f>E14/E4</f>
        <v>0.12202527608340311</v>
      </c>
      <c r="F15" s="41">
        <f>F14/F4</f>
        <v>0.1533144645487875</v>
      </c>
      <c r="G15" s="41">
        <f>G14/G4</f>
        <v>0.14095436964040944</v>
      </c>
      <c r="H15" s="128"/>
    </row>
    <row r="16" spans="1:10" x14ac:dyDescent="0.3">
      <c r="A16" s="4" t="s">
        <v>26</v>
      </c>
      <c r="B16" s="4"/>
      <c r="C16" s="30"/>
      <c r="D16" s="77"/>
      <c r="E16" s="125"/>
      <c r="F16" s="36"/>
      <c r="G16" s="30"/>
      <c r="H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44"/>
      <c r="H18" s="128"/>
    </row>
    <row r="19" spans="1:10" x14ac:dyDescent="0.3">
      <c r="A19" s="4" t="s">
        <v>17</v>
      </c>
      <c r="B19" s="4"/>
      <c r="C19" s="30">
        <v>10750000</v>
      </c>
      <c r="D19" s="77">
        <v>5000000</v>
      </c>
      <c r="E19" s="125">
        <v>6820000</v>
      </c>
      <c r="F19" s="30">
        <v>3500000</v>
      </c>
      <c r="G19" s="30">
        <v>213900</v>
      </c>
      <c r="H19" s="128">
        <f>Table63810111213[[#This Row],[Quintiles]]+Table63810111213[[#This Row],[Parexel]]+Table63810111213[[#This Row],[Covance]]+Table63810111213[[#This Row],[Icon]]+Table63810111213[[#This Row],[Charles River]]</f>
        <v>26283900</v>
      </c>
      <c r="I19" s="127"/>
      <c r="J19" s="2"/>
    </row>
    <row r="20" spans="1:10" x14ac:dyDescent="0.3">
      <c r="A20" s="15" t="s">
        <v>18</v>
      </c>
      <c r="B20" s="15"/>
      <c r="C20" s="35"/>
      <c r="D20" s="35"/>
      <c r="E20" s="126"/>
      <c r="F20" s="35"/>
      <c r="G20" s="35"/>
      <c r="H20" s="128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21.44140625" customWidth="1"/>
    <col min="8" max="8" width="19.109375" customWidth="1"/>
    <col min="9" max="9" width="29.44140625" style="1" customWidth="1"/>
    <col min="10" max="10" width="21.44140625" customWidth="1"/>
  </cols>
  <sheetData>
    <row r="1" spans="1:10" ht="19.8" x14ac:dyDescent="0.4">
      <c r="A1" s="32" t="s">
        <v>47</v>
      </c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45</v>
      </c>
    </row>
    <row r="3" spans="1:10" x14ac:dyDescent="0.3">
      <c r="A3" s="4" t="s">
        <v>14</v>
      </c>
      <c r="B3" s="4"/>
      <c r="C3" s="36">
        <f>SUM(C4:C6)</f>
        <v>1341030</v>
      </c>
      <c r="D3" s="36">
        <f>SUM(D4:D6)</f>
        <v>574236</v>
      </c>
      <c r="E3" s="36">
        <f>SUM(E4:E6)</f>
        <v>687108</v>
      </c>
      <c r="F3" s="36">
        <f>SUM(F4:F6)</f>
        <v>506404</v>
      </c>
      <c r="G3" s="36">
        <f t="shared" ref="G3" si="0">SUM(G4:G6)</f>
        <v>341179</v>
      </c>
      <c r="H3" s="128">
        <f>SUM(Table638101112[[#This Row],[Quintiles]]+Table638101112[[#This Row],[Parexel]]+Table638101112[[#This Row],[Covance]]+Table638101112[[#This Row],[Icon]]+Table638101112[[#This Row],[Charles River]])</f>
        <v>3449957</v>
      </c>
      <c r="I3" s="127"/>
      <c r="J3" s="2"/>
    </row>
    <row r="4" spans="1:10" x14ac:dyDescent="0.3">
      <c r="B4" s="1" t="s">
        <v>5</v>
      </c>
      <c r="C4" s="2">
        <v>1035476</v>
      </c>
      <c r="D4" s="79">
        <v>487145</v>
      </c>
      <c r="E4" s="125">
        <v>639456</v>
      </c>
      <c r="F4" s="128">
        <v>376020</v>
      </c>
      <c r="G4" s="2">
        <v>341179</v>
      </c>
      <c r="H4" s="128"/>
    </row>
    <row r="5" spans="1:10" x14ac:dyDescent="0.3">
      <c r="B5" s="1" t="s">
        <v>6</v>
      </c>
      <c r="C5" s="2">
        <v>305554</v>
      </c>
      <c r="D5" s="79">
        <v>87091</v>
      </c>
      <c r="E5" s="125">
        <v>47652</v>
      </c>
      <c r="F5" s="128">
        <v>130384</v>
      </c>
      <c r="G5" s="125"/>
      <c r="H5" s="128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128"/>
    </row>
    <row r="7" spans="1:10" x14ac:dyDescent="0.3">
      <c r="A7" s="4" t="s">
        <v>19</v>
      </c>
      <c r="B7" s="4"/>
      <c r="C7" s="2">
        <f>C4</f>
        <v>1035476</v>
      </c>
      <c r="D7" s="2">
        <f>D4</f>
        <v>487145</v>
      </c>
      <c r="E7" s="2">
        <f>E4</f>
        <v>639456</v>
      </c>
      <c r="F7" s="28">
        <f>F4</f>
        <v>376020</v>
      </c>
      <c r="G7" s="2">
        <f>G4</f>
        <v>341179</v>
      </c>
      <c r="H7" s="128"/>
    </row>
    <row r="8" spans="1:10" x14ac:dyDescent="0.3">
      <c r="A8" s="4" t="s">
        <v>11</v>
      </c>
      <c r="B8" s="4"/>
      <c r="C8" s="30">
        <f>SUM(C9:C13)</f>
        <v>1200030</v>
      </c>
      <c r="D8" s="30">
        <f>SUM(D9:D13)</f>
        <v>527572</v>
      </c>
      <c r="E8" s="30">
        <f>SUM(E9:E13)</f>
        <v>667844</v>
      </c>
      <c r="F8" s="30">
        <f>SUM(F9:F13)</f>
        <v>458116</v>
      </c>
      <c r="G8" s="30">
        <f t="shared" ref="G8" si="1">SUM(G9:G13)</f>
        <v>290154</v>
      </c>
      <c r="H8" s="128"/>
    </row>
    <row r="9" spans="1:10" x14ac:dyDescent="0.3">
      <c r="B9" s="1" t="s">
        <v>7</v>
      </c>
      <c r="C9" s="2">
        <v>674514</v>
      </c>
      <c r="D9" s="82">
        <v>324507</v>
      </c>
      <c r="E9" s="125">
        <v>446659</v>
      </c>
      <c r="F9" s="79">
        <v>227188</v>
      </c>
      <c r="G9" s="36">
        <f>67591+147954</f>
        <v>215545</v>
      </c>
      <c r="H9" s="128"/>
    </row>
    <row r="10" spans="1:10" x14ac:dyDescent="0.3">
      <c r="B10" s="1" t="s">
        <v>20</v>
      </c>
      <c r="C10" s="2">
        <v>305554</v>
      </c>
      <c r="D10" s="82">
        <v>87091</v>
      </c>
      <c r="E10" s="125">
        <v>47652</v>
      </c>
      <c r="F10" s="79">
        <v>130384</v>
      </c>
      <c r="G10" s="2"/>
      <c r="H10" s="128"/>
    </row>
    <row r="11" spans="1:10" x14ac:dyDescent="0.3">
      <c r="B11" s="1" t="s">
        <v>12</v>
      </c>
      <c r="C11" s="2"/>
      <c r="D11" s="82"/>
      <c r="E11" s="125"/>
      <c r="F11" s="79"/>
      <c r="G11" s="2"/>
      <c r="H11" s="128"/>
    </row>
    <row r="12" spans="1:10" x14ac:dyDescent="0.3">
      <c r="B12" s="1" t="s">
        <v>13</v>
      </c>
      <c r="C12" s="2"/>
      <c r="D12" s="82"/>
      <c r="E12" s="125"/>
      <c r="F12" s="79"/>
      <c r="G12" s="2"/>
      <c r="H12" s="128"/>
    </row>
    <row r="13" spans="1:10" x14ac:dyDescent="0.3">
      <c r="B13" s="1" t="s">
        <v>10</v>
      </c>
      <c r="C13" s="2">
        <f>219014+948</f>
        <v>219962</v>
      </c>
      <c r="D13" s="82">
        <f>95528+16584+3862</f>
        <v>115974</v>
      </c>
      <c r="E13" s="125">
        <f>87324+33645+52564</f>
        <v>173533</v>
      </c>
      <c r="F13" s="79">
        <f>87622+12922</f>
        <v>100544</v>
      </c>
      <c r="G13" s="2">
        <f>67756+6853</f>
        <v>74609</v>
      </c>
      <c r="H13" s="128"/>
    </row>
    <row r="14" spans="1:10" x14ac:dyDescent="0.3">
      <c r="A14" s="4" t="s">
        <v>24</v>
      </c>
      <c r="B14" s="4"/>
      <c r="C14" s="36">
        <f t="shared" ref="C14:G14" si="2">C3-C6-C8</f>
        <v>141000</v>
      </c>
      <c r="D14" s="36">
        <f t="shared" si="2"/>
        <v>46664</v>
      </c>
      <c r="E14" s="36">
        <f t="shared" si="2"/>
        <v>19264</v>
      </c>
      <c r="F14" s="36">
        <f t="shared" si="2"/>
        <v>48288</v>
      </c>
      <c r="G14" s="36">
        <f t="shared" si="2"/>
        <v>51025</v>
      </c>
      <c r="H14" s="128"/>
    </row>
    <row r="15" spans="1:10" x14ac:dyDescent="0.3">
      <c r="A15" s="18"/>
      <c r="B15" s="18" t="s">
        <v>16</v>
      </c>
      <c r="C15" s="41">
        <f>C14/C4</f>
        <v>0.13616925935511784</v>
      </c>
      <c r="D15" s="41">
        <f t="shared" ref="D15:G15" si="3">D14/D4</f>
        <v>9.57907809789693E-2</v>
      </c>
      <c r="E15" s="41">
        <f t="shared" si="3"/>
        <v>3.0125606765750889E-2</v>
      </c>
      <c r="F15" s="41">
        <f t="shared" si="3"/>
        <v>0.12841870113291845</v>
      </c>
      <c r="G15" s="41">
        <f t="shared" si="3"/>
        <v>0.14955492571348178</v>
      </c>
      <c r="H15" s="128"/>
    </row>
    <row r="16" spans="1:10" x14ac:dyDescent="0.3">
      <c r="A16" s="4" t="s">
        <v>26</v>
      </c>
      <c r="B16" s="4"/>
      <c r="C16" s="30">
        <v>85110</v>
      </c>
      <c r="D16" s="77"/>
      <c r="E16" s="125">
        <v>16937</v>
      </c>
      <c r="F16" s="36">
        <v>40783</v>
      </c>
      <c r="G16" s="30">
        <v>35816</v>
      </c>
      <c r="H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44"/>
      <c r="H18" s="128"/>
    </row>
    <row r="19" spans="1:10" x14ac:dyDescent="0.3">
      <c r="A19" s="4" t="s">
        <v>17</v>
      </c>
      <c r="B19" s="4"/>
      <c r="C19" s="30">
        <v>10260000</v>
      </c>
      <c r="D19" s="77">
        <v>4810000</v>
      </c>
      <c r="E19" s="125">
        <v>6920000</v>
      </c>
      <c r="F19" s="30">
        <v>3400000</v>
      </c>
      <c r="G19" s="30">
        <v>213900</v>
      </c>
      <c r="H19" s="128">
        <f>Table638101112[[#This Row],[Quintiles]]+Table638101112[[#This Row],[Parexel]]+Table638101112[[#This Row],[Covance]]+Table638101112[[#This Row],[Icon]]+Table638101112[[#This Row],[Charles River]]</f>
        <v>25603900</v>
      </c>
      <c r="I19" s="127"/>
      <c r="J19" s="2"/>
    </row>
    <row r="20" spans="1:10" x14ac:dyDescent="0.3">
      <c r="A20" s="15" t="s">
        <v>18</v>
      </c>
      <c r="B20" s="15"/>
      <c r="C20" s="35">
        <v>1.19</v>
      </c>
      <c r="D20" s="35"/>
      <c r="E20" s="126">
        <v>1.21</v>
      </c>
      <c r="F20" s="35"/>
      <c r="G20" s="35"/>
      <c r="H20" s="128"/>
    </row>
  </sheetData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21.44140625" customWidth="1"/>
    <col min="8" max="8" width="19.109375" customWidth="1"/>
    <col min="9" max="9" width="29.44140625" style="1" customWidth="1"/>
    <col min="10" max="10" width="21.44140625" customWidth="1"/>
  </cols>
  <sheetData>
    <row r="1" spans="1:10" ht="19.8" x14ac:dyDescent="0.4">
      <c r="A1" s="32" t="s">
        <v>46</v>
      </c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45</v>
      </c>
    </row>
    <row r="3" spans="1:10" x14ac:dyDescent="0.3">
      <c r="A3" s="4" t="s">
        <v>14</v>
      </c>
      <c r="B3" s="4"/>
      <c r="C3" s="36">
        <f>SUM(C4:C6)</f>
        <v>1307846</v>
      </c>
      <c r="D3" s="36">
        <f>SUM(D4:D6)</f>
        <v>577918</v>
      </c>
      <c r="E3" s="36">
        <f>SUM(E4:E6)</f>
        <v>666288</v>
      </c>
      <c r="F3" s="36">
        <f>SUM(F4:F6)</f>
        <v>476544</v>
      </c>
      <c r="G3" s="36">
        <f t="shared" ref="G3" si="0">SUM(G4:G6)</f>
        <v>299368</v>
      </c>
      <c r="H3" s="128">
        <f>SUM(Table6381011[[#This Row],[Quintiles]]+Table6381011[[#This Row],[Parexel]]+Table6381011[[#This Row],[Covance]]+Table6381011[[#This Row],[Icon]]+Table6381011[[#This Row],[Charles River]])</f>
        <v>3327964</v>
      </c>
      <c r="I3" s="127"/>
      <c r="J3" s="2"/>
    </row>
    <row r="4" spans="1:10" x14ac:dyDescent="0.3">
      <c r="B4" s="1" t="s">
        <v>5</v>
      </c>
      <c r="C4" s="2">
        <v>1005288</v>
      </c>
      <c r="D4" s="79">
        <v>492375</v>
      </c>
      <c r="E4" s="125">
        <v>620052</v>
      </c>
      <c r="F4" s="30">
        <v>349634</v>
      </c>
      <c r="G4" s="2">
        <v>299368</v>
      </c>
      <c r="H4" s="128"/>
    </row>
    <row r="5" spans="1:10" x14ac:dyDescent="0.3">
      <c r="B5" s="1" t="s">
        <v>6</v>
      </c>
      <c r="C5" s="2">
        <v>302558</v>
      </c>
      <c r="D5" s="79">
        <v>85543</v>
      </c>
      <c r="E5" s="125">
        <v>46236</v>
      </c>
      <c r="F5" s="79">
        <v>126910</v>
      </c>
      <c r="G5" s="125"/>
      <c r="H5" s="128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128"/>
    </row>
    <row r="7" spans="1:10" x14ac:dyDescent="0.3">
      <c r="A7" s="4" t="s">
        <v>19</v>
      </c>
      <c r="B7" s="4"/>
      <c r="C7" s="2">
        <f>C4</f>
        <v>1005288</v>
      </c>
      <c r="D7" s="2">
        <f>D4</f>
        <v>492375</v>
      </c>
      <c r="E7" s="2">
        <f>E4</f>
        <v>620052</v>
      </c>
      <c r="F7" s="2">
        <f>F4</f>
        <v>349634</v>
      </c>
      <c r="G7" s="2">
        <f>G4</f>
        <v>299368</v>
      </c>
      <c r="H7" s="128"/>
    </row>
    <row r="8" spans="1:10" x14ac:dyDescent="0.3">
      <c r="A8" s="4" t="s">
        <v>11</v>
      </c>
      <c r="B8" s="4"/>
      <c r="C8" s="30">
        <f>SUM(C9:C13)</f>
        <v>1166530</v>
      </c>
      <c r="D8" s="30">
        <f>SUM(D9:D13)</f>
        <v>525747</v>
      </c>
      <c r="E8" s="30">
        <f>SUM(E9:E13)</f>
        <v>599400</v>
      </c>
      <c r="F8" s="30">
        <f>SUM(F9:F13)</f>
        <v>433546</v>
      </c>
      <c r="G8" s="30">
        <f t="shared" ref="G8" si="1">SUM(G9:G13)</f>
        <v>259662</v>
      </c>
      <c r="H8" s="128"/>
    </row>
    <row r="9" spans="1:10" x14ac:dyDescent="0.3">
      <c r="B9" s="1" t="s">
        <v>7</v>
      </c>
      <c r="C9" s="2">
        <v>643722</v>
      </c>
      <c r="D9" s="82">
        <v>323149</v>
      </c>
      <c r="E9" s="125">
        <v>432553</v>
      </c>
      <c r="F9" s="79">
        <v>216140</v>
      </c>
      <c r="G9" s="36">
        <f>66586+123969</f>
        <v>190555</v>
      </c>
      <c r="H9" s="128"/>
    </row>
    <row r="10" spans="1:10" x14ac:dyDescent="0.3">
      <c r="B10" s="1" t="s">
        <v>20</v>
      </c>
      <c r="C10" s="2">
        <v>302558</v>
      </c>
      <c r="D10" s="82">
        <v>85543</v>
      </c>
      <c r="E10" s="125">
        <v>46236</v>
      </c>
      <c r="F10" s="79">
        <v>126910</v>
      </c>
      <c r="G10" s="2"/>
      <c r="H10" s="128"/>
    </row>
    <row r="11" spans="1:10" x14ac:dyDescent="0.3">
      <c r="B11" s="1" t="s">
        <v>12</v>
      </c>
      <c r="C11" s="2"/>
      <c r="D11" s="82"/>
      <c r="E11" s="125"/>
      <c r="F11" s="79"/>
      <c r="G11" s="2"/>
      <c r="H11" s="128"/>
    </row>
    <row r="12" spans="1:10" x14ac:dyDescent="0.3">
      <c r="B12" s="1" t="s">
        <v>13</v>
      </c>
      <c r="C12" s="2"/>
      <c r="D12" s="82"/>
      <c r="E12" s="125"/>
      <c r="F12" s="79"/>
      <c r="G12" s="2"/>
      <c r="H12" s="128"/>
    </row>
    <row r="13" spans="1:10" x14ac:dyDescent="0.3">
      <c r="B13" s="1" t="s">
        <v>10</v>
      </c>
      <c r="C13" s="2">
        <f>219242+1008</f>
        <v>220250</v>
      </c>
      <c r="D13" s="82">
        <f>96602+16802+3725-74</f>
        <v>117055</v>
      </c>
      <c r="E13" s="125">
        <f>87282+33329</f>
        <v>120611</v>
      </c>
      <c r="F13" s="79">
        <f>78948+11548</f>
        <v>90496</v>
      </c>
      <c r="G13" s="2">
        <f>64767+4340</f>
        <v>69107</v>
      </c>
      <c r="H13" s="128"/>
    </row>
    <row r="14" spans="1:10" x14ac:dyDescent="0.3">
      <c r="A14" s="4" t="s">
        <v>24</v>
      </c>
      <c r="B14" s="4"/>
      <c r="C14" s="36">
        <f t="shared" ref="C14:G14" si="2">C3-C6-C8</f>
        <v>141316</v>
      </c>
      <c r="D14" s="36">
        <f t="shared" si="2"/>
        <v>52171</v>
      </c>
      <c r="E14" s="36">
        <f t="shared" si="2"/>
        <v>66888</v>
      </c>
      <c r="F14" s="36">
        <f t="shared" si="2"/>
        <v>42998</v>
      </c>
      <c r="G14" s="36">
        <f t="shared" si="2"/>
        <v>39706</v>
      </c>
      <c r="H14" s="128"/>
    </row>
    <row r="15" spans="1:10" x14ac:dyDescent="0.3">
      <c r="A15" s="18"/>
      <c r="B15" s="18" t="s">
        <v>16</v>
      </c>
      <c r="C15" s="41">
        <f>C14/C4</f>
        <v>0.1405726518171907</v>
      </c>
      <c r="D15" s="41">
        <f>D14/D4</f>
        <v>0.10595785732419395</v>
      </c>
      <c r="E15" s="41">
        <f>E14/E4</f>
        <v>0.10787482340190822</v>
      </c>
      <c r="F15" s="41">
        <f>F14/F4</f>
        <v>0.12298003054622834</v>
      </c>
      <c r="G15" s="41">
        <f t="shared" ref="G15" si="3">G14/G4</f>
        <v>0.13263274631891184</v>
      </c>
      <c r="H15" s="128"/>
    </row>
    <row r="16" spans="1:10" x14ac:dyDescent="0.3">
      <c r="A16" s="4" t="s">
        <v>26</v>
      </c>
      <c r="B16" s="4"/>
      <c r="C16" s="30">
        <v>90214</v>
      </c>
      <c r="D16" s="77">
        <v>34739</v>
      </c>
      <c r="E16" s="125">
        <v>50816</v>
      </c>
      <c r="F16" s="36">
        <v>36195</v>
      </c>
      <c r="G16" s="30">
        <v>32358</v>
      </c>
      <c r="H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44"/>
      <c r="H18" s="128"/>
    </row>
    <row r="19" spans="1:10" x14ac:dyDescent="0.3">
      <c r="A19" s="4" t="s">
        <v>17</v>
      </c>
      <c r="B19" s="4"/>
      <c r="C19" s="30">
        <v>10066000</v>
      </c>
      <c r="D19" s="77">
        <v>4630000</v>
      </c>
      <c r="E19" s="125">
        <v>6903000</v>
      </c>
      <c r="F19" s="30">
        <v>3300000</v>
      </c>
      <c r="G19" s="30">
        <v>213900</v>
      </c>
      <c r="H19" s="128">
        <f>SUM(Table6381011[[#This Row],[Quintiles]]+Table6381011[[#This Row],[Parexel]]+Table6381011[[#This Row],[Covance]]+Table6381011[[#This Row],[Icon]]+Table6381011[[#This Row],[Charles River]])</f>
        <v>25112900</v>
      </c>
      <c r="I19" s="127"/>
      <c r="J19" s="2"/>
    </row>
    <row r="20" spans="1:10" x14ac:dyDescent="0.3">
      <c r="A20" s="15" t="s">
        <v>18</v>
      </c>
      <c r="B20" s="15"/>
      <c r="C20" s="35"/>
      <c r="D20" s="35"/>
      <c r="E20" s="126"/>
      <c r="F20" s="35"/>
      <c r="G20" s="35"/>
      <c r="H20" s="128"/>
    </row>
  </sheetData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18.109375" customWidth="1"/>
    <col min="8" max="8" width="21.44140625" customWidth="1"/>
    <col min="9" max="9" width="12.6640625" bestFit="1" customWidth="1"/>
    <col min="10" max="10" width="29.44140625" style="1" customWidth="1"/>
    <col min="11" max="11" width="21.44140625" customWidth="1"/>
  </cols>
  <sheetData>
    <row r="1" spans="1:11" ht="19.8" x14ac:dyDescent="0.4">
      <c r="A1" s="32" t="s">
        <v>44</v>
      </c>
    </row>
    <row r="2" spans="1:11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s="53" t="s">
        <v>4</v>
      </c>
      <c r="H2" t="s">
        <v>9</v>
      </c>
      <c r="I2" t="s">
        <v>45</v>
      </c>
    </row>
    <row r="3" spans="1:11" x14ac:dyDescent="0.3">
      <c r="A3" s="4" t="s">
        <v>14</v>
      </c>
      <c r="B3" s="4"/>
      <c r="C3" s="36">
        <f>SUM(C4:C5)</f>
        <v>1379185</v>
      </c>
      <c r="D3" s="36">
        <f>SUM(D4:D5)</f>
        <v>526858</v>
      </c>
      <c r="E3" s="36">
        <f>SUM(E4:E5)</f>
        <v>669769</v>
      </c>
      <c r="F3" s="36">
        <f>SUM(F4:F5)</f>
        <v>450062</v>
      </c>
      <c r="G3" s="10"/>
      <c r="H3" s="30">
        <v>289228</v>
      </c>
      <c r="I3" s="128">
        <f>SUM(C3:H3)</f>
        <v>3315102</v>
      </c>
      <c r="J3" s="127"/>
      <c r="K3" s="2"/>
    </row>
    <row r="4" spans="1:11" x14ac:dyDescent="0.3">
      <c r="B4" s="1" t="s">
        <v>5</v>
      </c>
      <c r="C4" s="2">
        <v>1003940</v>
      </c>
      <c r="D4" s="79">
        <v>463128</v>
      </c>
      <c r="E4" s="125">
        <v>623094</v>
      </c>
      <c r="F4" s="30">
        <v>345241</v>
      </c>
      <c r="G4" s="13"/>
      <c r="H4" s="2">
        <v>289228</v>
      </c>
      <c r="I4" s="128"/>
    </row>
    <row r="5" spans="1:11" x14ac:dyDescent="0.3">
      <c r="B5" s="1" t="s">
        <v>6</v>
      </c>
      <c r="C5" s="2">
        <v>375245</v>
      </c>
      <c r="D5" s="79">
        <v>63730</v>
      </c>
      <c r="E5" s="125">
        <v>46675</v>
      </c>
      <c r="F5" s="79">
        <v>104821</v>
      </c>
      <c r="G5" s="80"/>
      <c r="H5" s="125"/>
      <c r="I5" s="128"/>
    </row>
    <row r="6" spans="1:11" x14ac:dyDescent="0.3">
      <c r="A6" s="4"/>
      <c r="B6" s="4" t="s">
        <v>32</v>
      </c>
      <c r="C6" s="2"/>
      <c r="D6" s="79"/>
      <c r="E6" s="125"/>
      <c r="F6" s="36"/>
      <c r="G6" s="10"/>
      <c r="H6" s="30"/>
      <c r="I6" s="128"/>
    </row>
    <row r="7" spans="1:11" x14ac:dyDescent="0.3">
      <c r="A7" s="4" t="s">
        <v>19</v>
      </c>
      <c r="B7" s="4"/>
      <c r="C7" s="2">
        <f t="shared" ref="C7:H7" si="0">C4</f>
        <v>1003940</v>
      </c>
      <c r="D7" s="2">
        <f t="shared" si="0"/>
        <v>463128</v>
      </c>
      <c r="E7" s="2">
        <f t="shared" si="0"/>
        <v>623094</v>
      </c>
      <c r="F7" s="2">
        <f t="shared" si="0"/>
        <v>345241</v>
      </c>
      <c r="G7" s="2">
        <f t="shared" si="0"/>
        <v>0</v>
      </c>
      <c r="H7" s="2">
        <f t="shared" si="0"/>
        <v>289228</v>
      </c>
      <c r="I7" s="128"/>
    </row>
    <row r="8" spans="1:11" x14ac:dyDescent="0.3">
      <c r="A8" s="4" t="s">
        <v>11</v>
      </c>
      <c r="B8" s="4"/>
      <c r="C8" s="30">
        <f>SUM(C9:C13)</f>
        <v>1252173</v>
      </c>
      <c r="D8" s="30">
        <f>SUM(D9:D13)</f>
        <v>488530</v>
      </c>
      <c r="E8" s="30">
        <f>SUM(E9:E13)</f>
        <v>614818</v>
      </c>
      <c r="F8" s="30">
        <f>SUM(F9:F13)</f>
        <v>411351</v>
      </c>
      <c r="G8" s="77"/>
      <c r="H8" s="77">
        <v>264621</v>
      </c>
      <c r="I8" s="128"/>
    </row>
    <row r="9" spans="1:11" x14ac:dyDescent="0.3">
      <c r="B9" s="1" t="s">
        <v>7</v>
      </c>
      <c r="C9" s="2">
        <v>641957</v>
      </c>
      <c r="D9" s="82">
        <v>314890</v>
      </c>
      <c r="E9" s="125">
        <v>436857</v>
      </c>
      <c r="F9" s="79">
        <v>215155</v>
      </c>
      <c r="G9" s="36"/>
      <c r="H9" s="36">
        <v>264621</v>
      </c>
      <c r="I9" s="128"/>
    </row>
    <row r="10" spans="1:11" x14ac:dyDescent="0.3">
      <c r="B10" s="1" t="s">
        <v>20</v>
      </c>
      <c r="C10" s="2">
        <v>375245</v>
      </c>
      <c r="D10" s="82">
        <v>63730</v>
      </c>
      <c r="E10" s="125">
        <v>46675</v>
      </c>
      <c r="F10" s="79">
        <v>104821</v>
      </c>
      <c r="G10" s="80"/>
      <c r="H10" s="2"/>
      <c r="I10" s="128"/>
    </row>
    <row r="11" spans="1:11" x14ac:dyDescent="0.3">
      <c r="B11" s="1" t="s">
        <v>12</v>
      </c>
      <c r="C11" s="2">
        <v>0</v>
      </c>
      <c r="D11" s="82"/>
      <c r="E11" s="125"/>
      <c r="F11" s="79"/>
      <c r="G11" s="80"/>
      <c r="H11" s="2"/>
      <c r="I11" s="128"/>
    </row>
    <row r="12" spans="1:11" x14ac:dyDescent="0.3">
      <c r="B12" s="1" t="s">
        <v>13</v>
      </c>
      <c r="C12" s="2"/>
      <c r="D12" s="82"/>
      <c r="E12" s="125"/>
      <c r="F12" s="79"/>
      <c r="G12" s="80"/>
      <c r="H12" s="2"/>
      <c r="I12" s="128"/>
    </row>
    <row r="13" spans="1:11" x14ac:dyDescent="0.3">
      <c r="B13" s="1" t="s">
        <v>10</v>
      </c>
      <c r="C13" s="2">
        <f>232797+2174</f>
        <v>234971</v>
      </c>
      <c r="D13" s="82">
        <f>88831+17157+3981-59</f>
        <v>109910</v>
      </c>
      <c r="E13" s="125">
        <f>93564+32845+4877</f>
        <v>131286</v>
      </c>
      <c r="F13" s="79">
        <f>79412+11963</f>
        <v>91375</v>
      </c>
      <c r="G13" s="80"/>
      <c r="H13" s="2"/>
      <c r="I13" s="128"/>
    </row>
    <row r="14" spans="1:11" x14ac:dyDescent="0.3">
      <c r="A14" s="4" t="s">
        <v>24</v>
      </c>
      <c r="B14" s="4"/>
      <c r="C14" s="36">
        <f t="shared" ref="C14:H14" si="1">C3-C6-C8</f>
        <v>127012</v>
      </c>
      <c r="D14" s="36">
        <f t="shared" si="1"/>
        <v>38328</v>
      </c>
      <c r="E14" s="36">
        <f t="shared" si="1"/>
        <v>54951</v>
      </c>
      <c r="F14" s="36">
        <f t="shared" si="1"/>
        <v>38711</v>
      </c>
      <c r="G14" s="36">
        <f t="shared" si="1"/>
        <v>0</v>
      </c>
      <c r="H14" s="36">
        <f t="shared" si="1"/>
        <v>24607</v>
      </c>
      <c r="I14" s="128"/>
    </row>
    <row r="15" spans="1:11" x14ac:dyDescent="0.3">
      <c r="A15" s="18"/>
      <c r="B15" s="18" t="s">
        <v>16</v>
      </c>
      <c r="C15" s="41">
        <f>C14/C4</f>
        <v>0.12651353666553777</v>
      </c>
      <c r="D15" s="41">
        <f>D14/D4</f>
        <v>8.2758978079494228E-2</v>
      </c>
      <c r="E15" s="41">
        <f>E14/E4</f>
        <v>8.8190545888742311E-2</v>
      </c>
      <c r="F15" s="41">
        <f>F14/F4</f>
        <v>0.11212747037576649</v>
      </c>
      <c r="G15" s="41"/>
      <c r="H15" s="41">
        <f>H14/H4</f>
        <v>8.5078208195610378E-2</v>
      </c>
      <c r="I15" s="128"/>
    </row>
    <row r="16" spans="1:11" x14ac:dyDescent="0.3">
      <c r="A16" s="4" t="s">
        <v>26</v>
      </c>
      <c r="B16" s="4"/>
      <c r="C16" s="30">
        <v>72934</v>
      </c>
      <c r="D16" s="77">
        <v>30041</v>
      </c>
      <c r="E16" s="125">
        <v>45846</v>
      </c>
      <c r="F16" s="36">
        <v>33480</v>
      </c>
      <c r="G16" s="10"/>
      <c r="H16" s="30">
        <v>19099</v>
      </c>
      <c r="I16" s="128"/>
    </row>
    <row r="17" spans="1:11" x14ac:dyDescent="0.3">
      <c r="A17" s="4" t="s">
        <v>15</v>
      </c>
      <c r="B17" s="4"/>
      <c r="C17" s="29"/>
      <c r="D17" s="36"/>
      <c r="E17" s="125"/>
      <c r="F17" s="78"/>
      <c r="G17" s="12"/>
      <c r="H17" s="42"/>
      <c r="I17" s="128"/>
    </row>
    <row r="18" spans="1:11" x14ac:dyDescent="0.3">
      <c r="A18" s="52"/>
      <c r="B18" s="52" t="s">
        <v>16</v>
      </c>
      <c r="C18" s="48"/>
      <c r="D18" s="48"/>
      <c r="E18" s="125"/>
      <c r="F18" s="48"/>
      <c r="G18" s="44"/>
      <c r="H18" s="44"/>
      <c r="I18" s="128"/>
    </row>
    <row r="19" spans="1:11" x14ac:dyDescent="0.3">
      <c r="A19" s="4" t="s">
        <v>17</v>
      </c>
      <c r="B19" s="4"/>
      <c r="C19" s="30">
        <v>9900000</v>
      </c>
      <c r="D19" s="77">
        <v>4600000</v>
      </c>
      <c r="E19" s="125">
        <v>6920000</v>
      </c>
      <c r="F19" s="30">
        <v>3100000</v>
      </c>
      <c r="G19" s="13"/>
      <c r="H19" s="30"/>
      <c r="I19" s="128">
        <f>SUM(C19:G19)</f>
        <v>24520000</v>
      </c>
      <c r="J19" s="127"/>
      <c r="K19" s="2"/>
    </row>
    <row r="20" spans="1:11" x14ac:dyDescent="0.3">
      <c r="A20" s="15" t="s">
        <v>18</v>
      </c>
      <c r="B20" s="15"/>
      <c r="C20" s="35">
        <v>1.29</v>
      </c>
      <c r="D20" s="35">
        <v>1.21</v>
      </c>
      <c r="E20" s="126"/>
      <c r="F20" s="35">
        <v>1.29</v>
      </c>
      <c r="G20" s="16"/>
      <c r="H20" s="35"/>
      <c r="I20" s="128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0"/>
  <sheetViews>
    <sheetView workbookViewId="0">
      <selection activeCell="H4" sqref="H4"/>
    </sheetView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18.109375" customWidth="1"/>
    <col min="8" max="8" width="21.44140625" customWidth="1"/>
    <col min="10" max="10" width="29.44140625" customWidth="1"/>
    <col min="11" max="11" width="21.44140625" customWidth="1"/>
  </cols>
  <sheetData>
    <row r="1" spans="1:11" ht="19.8" x14ac:dyDescent="0.4">
      <c r="A1" s="32" t="s">
        <v>41</v>
      </c>
    </row>
    <row r="2" spans="1:11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s="53" t="s">
        <v>4</v>
      </c>
      <c r="H2" t="s">
        <v>9</v>
      </c>
    </row>
    <row r="3" spans="1:11" x14ac:dyDescent="0.3">
      <c r="A3" s="4" t="s">
        <v>14</v>
      </c>
      <c r="B3" s="4"/>
      <c r="C3" s="36">
        <f>SUM(C4:C5)</f>
        <v>1195839</v>
      </c>
      <c r="D3" s="36">
        <f>SUM(D4:D5)</f>
        <v>523451</v>
      </c>
      <c r="E3" s="36">
        <f>SUM(E4:E5)</f>
        <v>597662</v>
      </c>
      <c r="F3" s="36">
        <f>SUM(F4:F5)</f>
        <v>445598</v>
      </c>
      <c r="G3" s="10">
        <v>146719</v>
      </c>
      <c r="H3" s="30">
        <v>292129</v>
      </c>
      <c r="J3" s="1">
        <f>SUM(Table638[[#This Row],[Quintiles]]+Table638[[#This Row],[Parexel]]+Table638[[#This Row],[Covance]]+Table638[[#This Row],[Icon]]+Table638[[#This Row],[Charles River]])</f>
        <v>3054679</v>
      </c>
      <c r="K3" s="2"/>
    </row>
    <row r="4" spans="1:11" x14ac:dyDescent="0.3">
      <c r="B4" s="1" t="s">
        <v>5</v>
      </c>
      <c r="C4" s="2">
        <v>932727</v>
      </c>
      <c r="D4" s="79">
        <v>454493</v>
      </c>
      <c r="E4" s="30">
        <v>544818</v>
      </c>
      <c r="F4" s="82">
        <v>339810</v>
      </c>
      <c r="G4" s="13">
        <v>146719</v>
      </c>
      <c r="H4" s="2">
        <v>292129</v>
      </c>
    </row>
    <row r="5" spans="1:11" x14ac:dyDescent="0.3">
      <c r="B5" s="1" t="s">
        <v>6</v>
      </c>
      <c r="C5" s="2">
        <v>263112</v>
      </c>
      <c r="D5" s="79">
        <v>68958</v>
      </c>
      <c r="E5" s="79">
        <v>52844</v>
      </c>
      <c r="F5" s="79">
        <v>105788</v>
      </c>
      <c r="G5" s="80" t="s">
        <v>42</v>
      </c>
      <c r="H5" s="2"/>
    </row>
    <row r="6" spans="1:11" x14ac:dyDescent="0.3">
      <c r="A6" s="4"/>
      <c r="B6" s="4" t="s">
        <v>32</v>
      </c>
      <c r="C6" s="2"/>
      <c r="D6" s="79"/>
      <c r="E6" s="36"/>
      <c r="F6" s="36"/>
      <c r="G6" s="10"/>
      <c r="H6" s="30">
        <v>0</v>
      </c>
    </row>
    <row r="7" spans="1:11" x14ac:dyDescent="0.3">
      <c r="A7" s="4" t="s">
        <v>19</v>
      </c>
      <c r="B7" s="4"/>
      <c r="C7" s="2">
        <v>932727</v>
      </c>
      <c r="D7" s="79">
        <v>454493</v>
      </c>
      <c r="E7" s="30">
        <v>544818</v>
      </c>
      <c r="F7" s="82">
        <v>339800</v>
      </c>
      <c r="G7" s="13">
        <v>146719</v>
      </c>
      <c r="H7" s="2">
        <v>292129</v>
      </c>
    </row>
    <row r="8" spans="1:11" x14ac:dyDescent="0.3">
      <c r="A8" s="4" t="s">
        <v>11</v>
      </c>
      <c r="B8" s="4"/>
      <c r="C8" s="30">
        <f>SUM(C9:C13)</f>
        <v>1070580</v>
      </c>
      <c r="D8" s="77">
        <f>SUM(D9:D13)</f>
        <v>486845</v>
      </c>
      <c r="E8" s="77">
        <f>SUM(E9:E13)</f>
        <v>567071</v>
      </c>
      <c r="F8" s="77">
        <f>SUM(F9:F13)</f>
        <v>306649</v>
      </c>
      <c r="G8" s="77">
        <f>SUM(G9:G13)</f>
        <v>93982</v>
      </c>
      <c r="H8" s="77">
        <f>70294+121909+54903+4180</f>
        <v>251286</v>
      </c>
    </row>
    <row r="9" spans="1:11" x14ac:dyDescent="0.3">
      <c r="B9" s="1" t="s">
        <v>7</v>
      </c>
      <c r="C9" s="2">
        <v>600694</v>
      </c>
      <c r="D9" s="82">
        <v>311917</v>
      </c>
      <c r="E9" s="79">
        <v>389724</v>
      </c>
      <c r="F9" s="82">
        <v>213666</v>
      </c>
      <c r="G9" s="36">
        <v>93982</v>
      </c>
      <c r="H9" s="36"/>
    </row>
    <row r="10" spans="1:11" x14ac:dyDescent="0.3">
      <c r="B10" s="1" t="s">
        <v>20</v>
      </c>
      <c r="C10" s="2">
        <v>263112</v>
      </c>
      <c r="D10" s="82">
        <v>68598</v>
      </c>
      <c r="E10" s="79">
        <v>52844</v>
      </c>
      <c r="F10" s="79"/>
      <c r="G10" s="80"/>
      <c r="H10" s="2"/>
    </row>
    <row r="11" spans="1:11" x14ac:dyDescent="0.3">
      <c r="B11" s="1" t="s">
        <v>12</v>
      </c>
      <c r="C11" s="2">
        <v>0</v>
      </c>
      <c r="D11" s="82"/>
      <c r="E11" s="79"/>
      <c r="F11" s="82"/>
      <c r="G11" s="80"/>
      <c r="H11" s="2"/>
    </row>
    <row r="12" spans="1:11" x14ac:dyDescent="0.3">
      <c r="B12" s="1" t="s">
        <v>13</v>
      </c>
      <c r="C12" s="2"/>
      <c r="D12" s="82"/>
      <c r="E12" s="79"/>
      <c r="F12" s="82"/>
      <c r="G12" s="80"/>
      <c r="H12" s="2"/>
    </row>
    <row r="13" spans="1:11" x14ac:dyDescent="0.3">
      <c r="B13" s="1" t="s">
        <v>10</v>
      </c>
      <c r="C13" s="2">
        <v>206774</v>
      </c>
      <c r="D13" s="82">
        <v>106330</v>
      </c>
      <c r="E13" s="79">
        <v>124503</v>
      </c>
      <c r="F13" s="82">
        <v>92983</v>
      </c>
      <c r="G13" s="80">
        <v>0</v>
      </c>
      <c r="H13" s="2">
        <f>54919+4463</f>
        <v>59382</v>
      </c>
    </row>
    <row r="14" spans="1:11" x14ac:dyDescent="0.3">
      <c r="A14" s="4" t="s">
        <v>24</v>
      </c>
      <c r="B14" s="4"/>
      <c r="C14" s="36">
        <f>C3-C6-C8</f>
        <v>125259</v>
      </c>
      <c r="D14" s="36">
        <f>D3-D6-D8</f>
        <v>36606</v>
      </c>
      <c r="E14" s="36">
        <f>E3-E6-E8</f>
        <v>30591</v>
      </c>
      <c r="F14" s="77">
        <v>33200</v>
      </c>
      <c r="G14" s="36">
        <v>27191</v>
      </c>
      <c r="H14" s="36">
        <f>H3-H6-H8</f>
        <v>40843</v>
      </c>
    </row>
    <row r="15" spans="1:11" x14ac:dyDescent="0.3">
      <c r="A15" s="18"/>
      <c r="B15" s="18" t="s">
        <v>16</v>
      </c>
      <c r="C15" s="41">
        <f t="shared" ref="C15:H15" si="0">C14/C4</f>
        <v>0.13429331412085208</v>
      </c>
      <c r="D15" s="41">
        <f t="shared" si="0"/>
        <v>8.0542494603877288E-2</v>
      </c>
      <c r="E15" s="41">
        <f t="shared" si="0"/>
        <v>5.6149025913240752E-2</v>
      </c>
      <c r="F15" s="41">
        <f t="shared" si="0"/>
        <v>9.7701656808216353E-2</v>
      </c>
      <c r="G15" s="41">
        <f t="shared" si="0"/>
        <v>0.18532705375581895</v>
      </c>
      <c r="H15" s="41">
        <f t="shared" si="0"/>
        <v>0.13981152162229699</v>
      </c>
    </row>
    <row r="16" spans="1:11" x14ac:dyDescent="0.3">
      <c r="A16" s="4" t="s">
        <v>26</v>
      </c>
      <c r="B16" s="4"/>
      <c r="C16" s="30">
        <v>66584</v>
      </c>
      <c r="D16" s="77">
        <v>29524</v>
      </c>
      <c r="E16" s="36">
        <v>37820</v>
      </c>
      <c r="F16" s="77">
        <v>27800</v>
      </c>
      <c r="G16" s="10">
        <v>30379</v>
      </c>
      <c r="H16" s="30">
        <v>31233</v>
      </c>
    </row>
    <row r="17" spans="1:11" x14ac:dyDescent="0.3">
      <c r="A17" s="4" t="s">
        <v>15</v>
      </c>
      <c r="B17" s="4"/>
      <c r="C17" s="29"/>
      <c r="D17" s="36"/>
      <c r="E17" s="78"/>
      <c r="F17" s="78"/>
      <c r="G17" s="12"/>
      <c r="H17" s="42"/>
    </row>
    <row r="18" spans="1:11" x14ac:dyDescent="0.3">
      <c r="A18" s="52"/>
      <c r="B18" s="52" t="s">
        <v>16</v>
      </c>
      <c r="C18" s="48"/>
      <c r="D18" s="48"/>
      <c r="E18" s="48"/>
      <c r="F18" s="48"/>
      <c r="G18" s="44"/>
      <c r="H18" s="44"/>
    </row>
    <row r="19" spans="1:11" x14ac:dyDescent="0.3">
      <c r="A19" s="4" t="s">
        <v>17</v>
      </c>
      <c r="B19" s="4"/>
      <c r="C19" s="30">
        <v>9583000</v>
      </c>
      <c r="D19" s="77">
        <v>4500000</v>
      </c>
      <c r="E19" s="30">
        <v>6370000</v>
      </c>
      <c r="F19" s="30">
        <v>2970000</v>
      </c>
      <c r="G19" s="13"/>
      <c r="H19" s="30">
        <v>213900</v>
      </c>
      <c r="J19" s="1">
        <f>SUM(Table638[[#This Row],[Quintiles]]+Table638[[#This Row],[Parexel]]+Table638[[#This Row],[Covance]]+Table638[[#This Row],[Icon]]+Table638[[#This Row],[Charles River]])</f>
        <v>23636900</v>
      </c>
      <c r="K19" s="2"/>
    </row>
    <row r="20" spans="1:11" x14ac:dyDescent="0.3">
      <c r="A20" s="15" t="s">
        <v>18</v>
      </c>
      <c r="B20" s="15"/>
      <c r="C20" s="35">
        <v>1.21</v>
      </c>
      <c r="D20" s="35">
        <v>1.19</v>
      </c>
      <c r="E20" s="35">
        <v>1.29</v>
      </c>
      <c r="F20" s="35">
        <v>1.2</v>
      </c>
      <c r="G20" s="16"/>
      <c r="H20" s="35"/>
    </row>
  </sheetData>
  <pageMargins left="0.7" right="0.7" top="0.75" bottom="0.75" header="0.3" footer="0.3"/>
  <pageSetup scale="57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DB69-A727-4A4A-84DD-1FF1112EBDF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0"/>
  <sheetViews>
    <sheetView workbookViewId="0">
      <selection activeCell="I26" sqref="I26"/>
    </sheetView>
  </sheetViews>
  <sheetFormatPr defaultColWidth="8.77734375" defaultRowHeight="14.4" x14ac:dyDescent="0.3"/>
  <cols>
    <col min="1" max="1" width="19.6640625" style="1" customWidth="1"/>
    <col min="2" max="2" width="20.33203125" style="1" customWidth="1"/>
    <col min="3" max="3" width="20.33203125" customWidth="1"/>
    <col min="4" max="4" width="15.44140625" customWidth="1"/>
    <col min="5" max="5" width="17.109375" customWidth="1"/>
    <col min="6" max="7" width="16.44140625" customWidth="1"/>
    <col min="8" max="8" width="14.6640625" customWidth="1"/>
    <col min="10" max="10" width="13.77734375" bestFit="1" customWidth="1"/>
  </cols>
  <sheetData>
    <row r="1" spans="1:10" ht="19.8" x14ac:dyDescent="0.4">
      <c r="A1" s="32" t="s">
        <v>40</v>
      </c>
      <c r="D1" s="1"/>
      <c r="E1" s="1"/>
      <c r="F1" s="1"/>
      <c r="H1" s="1"/>
    </row>
    <row r="2" spans="1:10" s="53" customFormat="1" x14ac:dyDescent="0.3">
      <c r="A2" s="27" t="s">
        <v>29</v>
      </c>
      <c r="B2" s="27" t="s">
        <v>28</v>
      </c>
      <c r="C2" s="27" t="s">
        <v>0</v>
      </c>
      <c r="D2" s="27" t="s">
        <v>1</v>
      </c>
      <c r="E2" s="27" t="s">
        <v>2</v>
      </c>
      <c r="F2" s="27" t="s">
        <v>8</v>
      </c>
      <c r="G2" s="27" t="s">
        <v>4</v>
      </c>
      <c r="H2" s="27" t="s">
        <v>9</v>
      </c>
    </row>
    <row r="3" spans="1:10" x14ac:dyDescent="0.3">
      <c r="A3" s="4" t="s">
        <v>14</v>
      </c>
      <c r="B3" s="4"/>
      <c r="C3" s="30">
        <v>1295680</v>
      </c>
      <c r="D3" s="36">
        <f>SUM(D4:D6)</f>
        <v>526858</v>
      </c>
      <c r="E3" s="36">
        <f>SUM(E4:E6)</f>
        <v>643976</v>
      </c>
      <c r="F3" s="36">
        <v>469626</v>
      </c>
      <c r="G3" s="10">
        <v>142327</v>
      </c>
      <c r="H3" s="30">
        <v>292933</v>
      </c>
      <c r="J3" s="28">
        <f>SUM(Table63[[#This Row],[Quintiles]:[Charles River]])</f>
        <v>3371400</v>
      </c>
    </row>
    <row r="4" spans="1:10" x14ac:dyDescent="0.3">
      <c r="B4" s="1" t="s">
        <v>5</v>
      </c>
      <c r="C4" s="2">
        <v>944238</v>
      </c>
      <c r="D4" s="79">
        <v>463128</v>
      </c>
      <c r="E4" s="30">
        <v>592298</v>
      </c>
      <c r="F4" s="79">
        <v>334219</v>
      </c>
      <c r="G4" s="13">
        <v>142327</v>
      </c>
      <c r="H4" s="2">
        <v>292933</v>
      </c>
    </row>
    <row r="5" spans="1:10" x14ac:dyDescent="0.3">
      <c r="B5" s="1" t="s">
        <v>6</v>
      </c>
      <c r="C5" s="2">
        <v>351442</v>
      </c>
      <c r="D5" s="79">
        <v>63730</v>
      </c>
      <c r="E5" s="79">
        <v>51678</v>
      </c>
      <c r="F5" s="79">
        <v>135407</v>
      </c>
      <c r="G5" s="80" t="s">
        <v>39</v>
      </c>
      <c r="H5" s="2" t="s">
        <v>39</v>
      </c>
    </row>
    <row r="6" spans="1:10" x14ac:dyDescent="0.3">
      <c r="A6" s="4"/>
      <c r="B6" s="4" t="s">
        <v>32</v>
      </c>
      <c r="C6" s="2"/>
      <c r="D6" s="79"/>
      <c r="E6" s="36"/>
      <c r="F6" s="36"/>
      <c r="G6" s="10"/>
      <c r="H6" s="30"/>
    </row>
    <row r="7" spans="1:10" x14ac:dyDescent="0.3">
      <c r="A7" s="4" t="s">
        <v>19</v>
      </c>
      <c r="B7" s="4"/>
      <c r="C7" s="2"/>
      <c r="D7" s="79">
        <v>463128</v>
      </c>
      <c r="E7" s="30">
        <v>592298</v>
      </c>
      <c r="F7" s="79">
        <v>334219</v>
      </c>
      <c r="G7" s="13">
        <v>142327</v>
      </c>
      <c r="H7" s="2">
        <v>292933</v>
      </c>
    </row>
    <row r="8" spans="1:10" x14ac:dyDescent="0.3">
      <c r="A8" s="4" t="s">
        <v>11</v>
      </c>
      <c r="B8" s="4"/>
      <c r="C8" s="30">
        <f t="shared" ref="C8:H8" si="0">SUM(C9:C13)</f>
        <v>1200783</v>
      </c>
      <c r="D8" s="36">
        <f t="shared" si="0"/>
        <v>488530</v>
      </c>
      <c r="E8" s="36">
        <f t="shared" si="0"/>
        <v>592466</v>
      </c>
      <c r="F8" s="36">
        <f t="shared" si="0"/>
        <v>438706</v>
      </c>
      <c r="G8" s="36">
        <f t="shared" si="0"/>
        <v>116635</v>
      </c>
      <c r="H8" s="36">
        <f t="shared" si="0"/>
        <v>256086</v>
      </c>
    </row>
    <row r="9" spans="1:10" x14ac:dyDescent="0.3">
      <c r="B9" s="1" t="s">
        <v>7</v>
      </c>
      <c r="C9" s="2">
        <v>617666</v>
      </c>
      <c r="D9" s="79">
        <v>314890</v>
      </c>
      <c r="E9" s="79">
        <v>419115</v>
      </c>
      <c r="F9" s="79">
        <v>214231</v>
      </c>
      <c r="G9" s="36">
        <v>90572</v>
      </c>
      <c r="H9" s="36">
        <v>190363</v>
      </c>
    </row>
    <row r="10" spans="1:10" x14ac:dyDescent="0.3">
      <c r="B10" s="1" t="s">
        <v>20</v>
      </c>
      <c r="C10" s="2">
        <v>351442</v>
      </c>
      <c r="D10" s="79">
        <v>63730</v>
      </c>
      <c r="E10" s="79">
        <v>51678</v>
      </c>
      <c r="F10" s="79">
        <v>135407</v>
      </c>
      <c r="G10" s="80" t="s">
        <v>39</v>
      </c>
      <c r="H10" s="2" t="s">
        <v>39</v>
      </c>
    </row>
    <row r="11" spans="1:10" x14ac:dyDescent="0.3">
      <c r="B11" s="1" t="s">
        <v>12</v>
      </c>
      <c r="C11" s="2"/>
      <c r="D11" s="79"/>
      <c r="E11" s="79"/>
      <c r="F11" s="79"/>
      <c r="G11" s="80"/>
      <c r="H11" s="2"/>
    </row>
    <row r="12" spans="1:10" x14ac:dyDescent="0.3">
      <c r="B12" s="1" t="s">
        <v>13</v>
      </c>
      <c r="C12" s="2"/>
      <c r="D12" s="79"/>
      <c r="E12" s="79"/>
      <c r="F12" s="79"/>
      <c r="G12" s="80"/>
      <c r="H12" s="2"/>
    </row>
    <row r="13" spans="1:10" x14ac:dyDescent="0.3">
      <c r="B13" s="1" t="s">
        <v>10</v>
      </c>
      <c r="C13" s="2">
        <f>228838+2837</f>
        <v>231675</v>
      </c>
      <c r="D13" s="79">
        <v>109910</v>
      </c>
      <c r="E13" s="79">
        <v>121673</v>
      </c>
      <c r="F13" s="79">
        <v>89068</v>
      </c>
      <c r="G13" s="80">
        <v>26063</v>
      </c>
      <c r="H13" s="2">
        <f>102570-36847</f>
        <v>65723</v>
      </c>
    </row>
    <row r="14" spans="1:10" x14ac:dyDescent="0.3">
      <c r="A14" s="4" t="s">
        <v>24</v>
      </c>
      <c r="B14" s="4"/>
      <c r="C14" s="36">
        <f>C3-C6-C8</f>
        <v>94897</v>
      </c>
      <c r="D14" s="36">
        <f>D3-D6-D8</f>
        <v>38328</v>
      </c>
      <c r="E14" s="36">
        <f>E3-E6-E8</f>
        <v>51510</v>
      </c>
      <c r="F14" s="36">
        <f>F3-F8</f>
        <v>30920</v>
      </c>
      <c r="G14" s="36">
        <f>G3-G8</f>
        <v>25692</v>
      </c>
      <c r="H14" s="36">
        <f>H3-H8</f>
        <v>36847</v>
      </c>
      <c r="I14" s="26"/>
    </row>
    <row r="15" spans="1:10" x14ac:dyDescent="0.3">
      <c r="A15" s="18"/>
      <c r="B15" s="18" t="s">
        <v>16</v>
      </c>
      <c r="C15" s="41">
        <f t="shared" ref="C15:H15" si="1">C14/C4</f>
        <v>0.10050114483848352</v>
      </c>
      <c r="D15" s="41">
        <f t="shared" si="1"/>
        <v>8.2758978079494228E-2</v>
      </c>
      <c r="E15" s="41">
        <f t="shared" si="1"/>
        <v>8.6966358150795717E-2</v>
      </c>
      <c r="F15" s="41">
        <f t="shared" si="1"/>
        <v>9.2514189797707494E-2</v>
      </c>
      <c r="G15" s="41">
        <f t="shared" si="1"/>
        <v>0.1805138870347861</v>
      </c>
      <c r="H15" s="41">
        <f t="shared" si="1"/>
        <v>0.12578644263363978</v>
      </c>
    </row>
    <row r="16" spans="1:10" x14ac:dyDescent="0.3">
      <c r="A16" s="4" t="s">
        <v>26</v>
      </c>
      <c r="B16" s="4"/>
      <c r="C16" s="30">
        <v>38353</v>
      </c>
      <c r="D16" s="36">
        <v>21300</v>
      </c>
      <c r="E16" s="36">
        <v>40994</v>
      </c>
      <c r="F16" s="36">
        <v>26505</v>
      </c>
      <c r="G16" s="10">
        <v>29620</v>
      </c>
      <c r="H16" s="30">
        <v>27713</v>
      </c>
    </row>
    <row r="17" spans="1:10" x14ac:dyDescent="0.3">
      <c r="A17" s="4" t="s">
        <v>15</v>
      </c>
      <c r="B17" s="4"/>
      <c r="C17" s="30"/>
      <c r="D17" s="36"/>
      <c r="E17" s="42"/>
      <c r="F17" s="42"/>
      <c r="G17" s="12"/>
      <c r="H17" s="42"/>
    </row>
    <row r="18" spans="1:10" x14ac:dyDescent="0.3">
      <c r="A18" s="51"/>
      <c r="B18" s="51" t="s">
        <v>16</v>
      </c>
      <c r="C18" s="81"/>
      <c r="D18" s="44"/>
      <c r="E18" s="44"/>
      <c r="F18" s="44"/>
      <c r="G18" s="44"/>
      <c r="H18" s="44"/>
    </row>
    <row r="19" spans="1:10" x14ac:dyDescent="0.3">
      <c r="A19" s="4" t="s">
        <v>17</v>
      </c>
      <c r="B19" s="4"/>
      <c r="C19" s="30">
        <v>9000000</v>
      </c>
      <c r="D19" s="36">
        <v>4540000</v>
      </c>
      <c r="E19" s="30">
        <v>6730000</v>
      </c>
      <c r="F19" s="30">
        <v>2825000</v>
      </c>
      <c r="G19" s="13"/>
      <c r="H19" s="30">
        <v>213900</v>
      </c>
      <c r="J19" s="28">
        <f>SUM(Table63[[#This Row],[Quintiles]:[Charles River]])</f>
        <v>23308900</v>
      </c>
    </row>
    <row r="20" spans="1:10" x14ac:dyDescent="0.3">
      <c r="A20" s="15" t="s">
        <v>18</v>
      </c>
      <c r="B20" s="15"/>
      <c r="C20" s="35">
        <v>1.07</v>
      </c>
      <c r="D20" s="35">
        <v>1.06</v>
      </c>
      <c r="E20" s="35">
        <v>1.31</v>
      </c>
      <c r="F20" s="35">
        <v>1.48</v>
      </c>
      <c r="G20" s="16"/>
      <c r="H20" s="35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0"/>
  <sheetViews>
    <sheetView workbookViewId="0">
      <selection activeCell="L3" sqref="L3"/>
    </sheetView>
  </sheetViews>
  <sheetFormatPr defaultColWidth="8.77734375" defaultRowHeight="14.4" x14ac:dyDescent="0.3"/>
  <cols>
    <col min="1" max="1" width="20.33203125" style="1" customWidth="1"/>
    <col min="2" max="2" width="25.44140625" style="1" customWidth="1"/>
    <col min="3" max="3" width="14.77734375" customWidth="1"/>
    <col min="4" max="4" width="14" customWidth="1"/>
    <col min="5" max="5" width="14.109375" customWidth="1"/>
    <col min="6" max="6" width="14" customWidth="1"/>
    <col min="7" max="7" width="14.109375" customWidth="1"/>
    <col min="8" max="8" width="16.33203125" customWidth="1"/>
    <col min="9" max="9" width="16.77734375" customWidth="1"/>
    <col min="11" max="11" width="15.44140625" customWidth="1"/>
    <col min="12" max="12" width="16.109375" customWidth="1"/>
  </cols>
  <sheetData>
    <row r="1" spans="1:12" ht="19.8" x14ac:dyDescent="0.4">
      <c r="A1" s="32" t="s">
        <v>38</v>
      </c>
      <c r="C1" s="1"/>
      <c r="D1" s="1"/>
      <c r="E1" s="1"/>
      <c r="F1" s="1"/>
      <c r="G1" s="1"/>
      <c r="I1" s="1"/>
    </row>
    <row r="2" spans="1:12" s="53" customFormat="1" x14ac:dyDescent="0.3">
      <c r="A2" s="27" t="s">
        <v>29</v>
      </c>
      <c r="B2" s="27" t="s">
        <v>28</v>
      </c>
      <c r="C2" s="27" t="s">
        <v>0</v>
      </c>
      <c r="D2" s="27" t="s">
        <v>1</v>
      </c>
      <c r="E2" s="27" t="s">
        <v>2</v>
      </c>
      <c r="F2" s="27" t="s">
        <v>8</v>
      </c>
      <c r="G2" s="27" t="s">
        <v>3</v>
      </c>
      <c r="H2" s="27" t="s">
        <v>4</v>
      </c>
      <c r="I2" s="27" t="s">
        <v>9</v>
      </c>
    </row>
    <row r="3" spans="1:12" x14ac:dyDescent="0.3">
      <c r="A3" s="54" t="s">
        <v>14</v>
      </c>
      <c r="B3" s="54"/>
      <c r="C3" s="69">
        <f>SUM(C4:C5)</f>
        <v>1228841</v>
      </c>
      <c r="D3" s="69">
        <f>SUM(D4:D6)</f>
        <v>641502</v>
      </c>
      <c r="E3" s="69">
        <f>SUM(E4:E6)</f>
        <v>677529</v>
      </c>
      <c r="F3" s="69">
        <f>SUM(F4:F5)</f>
        <v>419059</v>
      </c>
      <c r="G3" s="69">
        <f>SUM(G4:G5)</f>
        <v>0</v>
      </c>
      <c r="H3" s="55">
        <v>131865</v>
      </c>
      <c r="I3" s="70">
        <v>291238</v>
      </c>
      <c r="K3" s="28"/>
      <c r="L3">
        <f>SUM(Table6[[#This Row],[Quintiles]:[Charles River]])</f>
        <v>3390034</v>
      </c>
    </row>
    <row r="4" spans="1:12" x14ac:dyDescent="0.3">
      <c r="A4" s="65"/>
      <c r="B4" s="66" t="s">
        <v>5</v>
      </c>
      <c r="C4" s="71">
        <v>927435</v>
      </c>
      <c r="D4" s="71">
        <v>454493</v>
      </c>
      <c r="E4" s="71">
        <v>580199</v>
      </c>
      <c r="F4" s="71">
        <v>316789</v>
      </c>
      <c r="G4" s="71"/>
      <c r="H4" s="72">
        <v>131865</v>
      </c>
      <c r="I4" s="73">
        <v>291238</v>
      </c>
      <c r="L4" s="25"/>
    </row>
    <row r="5" spans="1:12" x14ac:dyDescent="0.3">
      <c r="A5" s="65"/>
      <c r="B5" s="66" t="s">
        <v>6</v>
      </c>
      <c r="C5" s="71">
        <v>301406</v>
      </c>
      <c r="D5" s="71">
        <v>68958</v>
      </c>
      <c r="E5" s="71">
        <v>54136</v>
      </c>
      <c r="F5" s="71">
        <v>102270</v>
      </c>
      <c r="G5" s="71"/>
      <c r="H5" s="57" t="s">
        <v>22</v>
      </c>
      <c r="I5" s="73" t="s">
        <v>22</v>
      </c>
    </row>
    <row r="6" spans="1:12" x14ac:dyDescent="0.3">
      <c r="A6" s="54"/>
      <c r="B6" s="67" t="s">
        <v>32</v>
      </c>
      <c r="C6" s="69"/>
      <c r="D6" s="71">
        <v>118051</v>
      </c>
      <c r="E6" s="69">
        <v>43194</v>
      </c>
      <c r="F6" s="69"/>
      <c r="G6" s="71"/>
      <c r="H6" s="55"/>
      <c r="I6" s="70"/>
    </row>
    <row r="7" spans="1:12" x14ac:dyDescent="0.3">
      <c r="A7" s="54" t="s">
        <v>19</v>
      </c>
      <c r="B7" s="54"/>
      <c r="C7" s="70">
        <v>927435</v>
      </c>
      <c r="D7" s="70">
        <v>454493</v>
      </c>
      <c r="E7" s="70">
        <v>580199</v>
      </c>
      <c r="F7" s="70">
        <v>316789</v>
      </c>
      <c r="G7" s="70"/>
      <c r="H7" s="56">
        <v>131865</v>
      </c>
      <c r="I7" s="70">
        <v>291238</v>
      </c>
    </row>
    <row r="8" spans="1:12" x14ac:dyDescent="0.3">
      <c r="A8" s="54" t="s">
        <v>11</v>
      </c>
      <c r="B8" s="54"/>
      <c r="C8" s="69">
        <f t="shared" ref="C8:I8" si="0">SUM(C9:C13)</f>
        <v>1113676</v>
      </c>
      <c r="D8" s="69">
        <f t="shared" si="0"/>
        <v>486845</v>
      </c>
      <c r="E8" s="69">
        <f t="shared" si="0"/>
        <v>586084</v>
      </c>
      <c r="F8" s="69">
        <f t="shared" si="0"/>
        <v>391651</v>
      </c>
      <c r="G8" s="69">
        <f t="shared" si="0"/>
        <v>0</v>
      </c>
      <c r="H8" s="69">
        <f t="shared" si="0"/>
        <v>108868</v>
      </c>
      <c r="I8" s="69">
        <f t="shared" si="0"/>
        <v>248475</v>
      </c>
    </row>
    <row r="9" spans="1:12" x14ac:dyDescent="0.3">
      <c r="A9" s="65"/>
      <c r="B9" s="66" t="s">
        <v>7</v>
      </c>
      <c r="C9" s="71">
        <v>611109</v>
      </c>
      <c r="D9" s="71">
        <v>311917</v>
      </c>
      <c r="E9" s="71">
        <v>411344</v>
      </c>
      <c r="F9" s="71">
        <v>202361</v>
      </c>
      <c r="G9" s="71"/>
      <c r="H9" s="57">
        <v>84459</v>
      </c>
      <c r="I9" s="73">
        <v>187027</v>
      </c>
    </row>
    <row r="10" spans="1:12" x14ac:dyDescent="0.3">
      <c r="A10" s="65"/>
      <c r="B10" s="66" t="s">
        <v>20</v>
      </c>
      <c r="C10" s="71">
        <v>301406</v>
      </c>
      <c r="D10" s="71">
        <v>68958</v>
      </c>
      <c r="E10" s="71">
        <v>54136</v>
      </c>
      <c r="F10" s="71">
        <v>102270</v>
      </c>
      <c r="G10" s="71"/>
      <c r="H10" s="57" t="s">
        <v>22</v>
      </c>
      <c r="I10" s="73" t="s">
        <v>22</v>
      </c>
    </row>
    <row r="11" spans="1:12" x14ac:dyDescent="0.3">
      <c r="A11" s="65"/>
      <c r="B11" s="66" t="s">
        <v>12</v>
      </c>
      <c r="C11" s="71"/>
      <c r="D11" s="71"/>
      <c r="E11" s="71"/>
      <c r="F11" s="71"/>
      <c r="G11" s="71"/>
      <c r="H11" s="57"/>
      <c r="I11" s="73"/>
    </row>
    <row r="12" spans="1:12" x14ac:dyDescent="0.3">
      <c r="A12" s="65"/>
      <c r="B12" s="66" t="s">
        <v>13</v>
      </c>
      <c r="C12" s="71"/>
      <c r="D12" s="71"/>
      <c r="E12" s="71"/>
      <c r="F12" s="71"/>
      <c r="G12" s="71"/>
      <c r="H12" s="57"/>
      <c r="I12" s="73"/>
    </row>
    <row r="13" spans="1:12" x14ac:dyDescent="0.3">
      <c r="A13" s="65"/>
      <c r="B13" s="66" t="s">
        <v>10</v>
      </c>
      <c r="C13" s="71">
        <v>201161</v>
      </c>
      <c r="D13" s="71">
        <f>88038+15773+2891-732</f>
        <v>105970</v>
      </c>
      <c r="E13" s="71">
        <f>89219+31385</f>
        <v>120604</v>
      </c>
      <c r="F13" s="71">
        <f>75564+11456</f>
        <v>87020</v>
      </c>
      <c r="G13" s="71"/>
      <c r="H13" s="57">
        <v>24409</v>
      </c>
      <c r="I13" s="73">
        <f>57199+4249</f>
        <v>61448</v>
      </c>
    </row>
    <row r="14" spans="1:12" x14ac:dyDescent="0.3">
      <c r="A14" s="54" t="s">
        <v>24</v>
      </c>
      <c r="B14" s="54"/>
      <c r="C14" s="69">
        <f t="shared" ref="C14:I14" si="1">C3-C8</f>
        <v>115165</v>
      </c>
      <c r="D14" s="69">
        <f>D3-D6-D8</f>
        <v>36606</v>
      </c>
      <c r="E14" s="69">
        <f>E3-E6-E8</f>
        <v>48251</v>
      </c>
      <c r="F14" s="69">
        <f t="shared" si="1"/>
        <v>27408</v>
      </c>
      <c r="G14" s="69">
        <f t="shared" si="1"/>
        <v>0</v>
      </c>
      <c r="H14" s="69">
        <f t="shared" si="1"/>
        <v>22997</v>
      </c>
      <c r="I14" s="69">
        <f t="shared" si="1"/>
        <v>42763</v>
      </c>
    </row>
    <row r="15" spans="1:12" x14ac:dyDescent="0.3">
      <c r="A15" s="63"/>
      <c r="B15" s="63" t="s">
        <v>16</v>
      </c>
      <c r="C15" s="74">
        <f t="shared" ref="C15:I15" si="2">C14/C4</f>
        <v>0.12417581825141384</v>
      </c>
      <c r="D15" s="74">
        <f t="shared" si="2"/>
        <v>8.0542494603877288E-2</v>
      </c>
      <c r="E15" s="74">
        <f t="shared" si="2"/>
        <v>8.316284585116486E-2</v>
      </c>
      <c r="F15" s="74">
        <f t="shared" si="2"/>
        <v>8.6518155617777134E-2</v>
      </c>
      <c r="G15" s="74" t="e">
        <f t="shared" si="2"/>
        <v>#DIV/0!</v>
      </c>
      <c r="H15" s="74">
        <f t="shared" si="2"/>
        <v>0.1743980586205589</v>
      </c>
      <c r="I15" s="74">
        <f t="shared" si="2"/>
        <v>0.1468318007952259</v>
      </c>
    </row>
    <row r="16" spans="1:12" x14ac:dyDescent="0.3">
      <c r="A16" s="54" t="s">
        <v>26</v>
      </c>
      <c r="B16" s="54"/>
      <c r="C16" s="69">
        <v>48156</v>
      </c>
      <c r="D16" s="69">
        <v>29524</v>
      </c>
      <c r="E16" s="69">
        <v>48166</v>
      </c>
      <c r="F16" s="69">
        <v>22202</v>
      </c>
      <c r="G16" s="69"/>
      <c r="H16" s="55">
        <v>22712</v>
      </c>
      <c r="I16" s="70">
        <v>25771</v>
      </c>
    </row>
    <row r="17" spans="1:12" x14ac:dyDescent="0.3">
      <c r="A17" s="54" t="s">
        <v>15</v>
      </c>
      <c r="B17" s="54"/>
      <c r="C17" s="69" t="s">
        <v>21</v>
      </c>
      <c r="D17" s="69">
        <v>342387</v>
      </c>
      <c r="E17" s="75"/>
      <c r="F17" s="75"/>
      <c r="G17" s="76"/>
      <c r="H17" s="58"/>
      <c r="I17" s="75">
        <v>182489</v>
      </c>
    </row>
    <row r="18" spans="1:12" x14ac:dyDescent="0.3">
      <c r="A18" s="68"/>
      <c r="B18" s="60" t="s">
        <v>16</v>
      </c>
      <c r="C18" s="59" t="e">
        <f t="shared" ref="C18:I18" si="3">C17/C4</f>
        <v>#VALUE!</v>
      </c>
      <c r="D18" s="59">
        <f t="shared" si="3"/>
        <v>0.75333833524388716</v>
      </c>
      <c r="E18" s="59">
        <f t="shared" si="3"/>
        <v>0</v>
      </c>
      <c r="F18" s="59">
        <f t="shared" si="3"/>
        <v>0</v>
      </c>
      <c r="G18" s="59" t="e">
        <f t="shared" si="3"/>
        <v>#DIV/0!</v>
      </c>
      <c r="H18" s="59">
        <f t="shared" si="3"/>
        <v>0</v>
      </c>
      <c r="I18" s="59">
        <f t="shared" si="3"/>
        <v>0.62659749071206372</v>
      </c>
    </row>
    <row r="19" spans="1:12" x14ac:dyDescent="0.3">
      <c r="A19" s="54" t="s">
        <v>17</v>
      </c>
      <c r="B19" s="54"/>
      <c r="C19" s="69">
        <v>9904500</v>
      </c>
      <c r="D19" s="69">
        <v>4500000</v>
      </c>
      <c r="E19" s="70">
        <v>6608000</v>
      </c>
      <c r="F19" s="70">
        <v>2800000</v>
      </c>
      <c r="G19" s="70"/>
      <c r="H19" s="56"/>
      <c r="I19" s="70">
        <v>213900</v>
      </c>
      <c r="K19" s="28"/>
      <c r="L19">
        <f>SUM(Table6[[#This Row],[Quintiles]:[Charles River]])</f>
        <v>24026400</v>
      </c>
    </row>
    <row r="20" spans="1:12" x14ac:dyDescent="0.3">
      <c r="A20" s="61" t="s">
        <v>18</v>
      </c>
      <c r="B20" s="61"/>
      <c r="C20" s="64"/>
      <c r="D20" s="64">
        <v>1.19</v>
      </c>
      <c r="E20" s="64">
        <v>1.23</v>
      </c>
      <c r="F20" s="64">
        <v>1.3</v>
      </c>
      <c r="G20" s="64"/>
      <c r="H20" s="62"/>
      <c r="I20" s="64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8"/>
  <sheetViews>
    <sheetView topLeftCell="B1" workbookViewId="0">
      <selection activeCell="K4" sqref="K4"/>
    </sheetView>
  </sheetViews>
  <sheetFormatPr defaultColWidth="8.77734375" defaultRowHeight="14.4" x14ac:dyDescent="0.3"/>
  <cols>
    <col min="1" max="1" width="21.44140625" style="1" customWidth="1"/>
    <col min="2" max="2" width="24.77734375" style="1" customWidth="1"/>
    <col min="3" max="3" width="15.33203125" customWidth="1"/>
    <col min="4" max="4" width="15.33203125" bestFit="1" customWidth="1"/>
    <col min="5" max="7" width="14.33203125" bestFit="1" customWidth="1"/>
    <col min="8" max="8" width="15.33203125" customWidth="1"/>
    <col min="9" max="9" width="18.109375" customWidth="1"/>
    <col min="10" max="10" width="17.6640625" customWidth="1"/>
    <col min="11" max="11" width="11.44140625" bestFit="1" customWidth="1"/>
    <col min="12" max="12" width="13.77734375" bestFit="1" customWidth="1"/>
  </cols>
  <sheetData>
    <row r="1" spans="1:12" ht="19.8" x14ac:dyDescent="0.4">
      <c r="A1" s="32" t="s">
        <v>34</v>
      </c>
    </row>
    <row r="2" spans="1:12" s="53" customFormat="1" x14ac:dyDescent="0.3">
      <c r="A2" s="27" t="s">
        <v>29</v>
      </c>
      <c r="B2" s="27" t="s">
        <v>28</v>
      </c>
      <c r="C2" s="53" t="s">
        <v>0</v>
      </c>
      <c r="D2" s="53" t="s">
        <v>1</v>
      </c>
      <c r="E2" s="53" t="s">
        <v>2</v>
      </c>
      <c r="F2" s="53" t="s">
        <v>8</v>
      </c>
      <c r="G2" s="53" t="s">
        <v>3</v>
      </c>
      <c r="H2" s="53" t="s">
        <v>4</v>
      </c>
      <c r="I2" s="53" t="s">
        <v>9</v>
      </c>
      <c r="J2" s="53" t="s">
        <v>33</v>
      </c>
      <c r="K2" s="53" t="s">
        <v>54</v>
      </c>
    </row>
    <row r="3" spans="1:12" x14ac:dyDescent="0.3">
      <c r="A3" s="4" t="s">
        <v>14</v>
      </c>
      <c r="B3" s="4"/>
      <c r="C3" s="36">
        <f>SUM(C4:C5)</f>
        <v>4865513</v>
      </c>
      <c r="D3" s="36">
        <f>SUM(D4:D6)</f>
        <v>1869034</v>
      </c>
      <c r="E3" s="36">
        <f>SUM(E4:E6)</f>
        <v>2443759</v>
      </c>
      <c r="F3" s="36">
        <f>SUM(F4:F5)</f>
        <v>1503993</v>
      </c>
      <c r="G3" s="36">
        <f>SUM(G4:G5)</f>
        <v>98278</v>
      </c>
      <c r="H3" s="10">
        <v>499900</v>
      </c>
      <c r="I3" s="30">
        <v>1129530</v>
      </c>
      <c r="J3" s="37">
        <f>SUM(J4:J5)</f>
        <v>592801</v>
      </c>
      <c r="K3" s="161">
        <f>SUM(Table4[[#This Row],[Quintiles]:[PRA]])</f>
        <v>13002808</v>
      </c>
      <c r="L3" s="28"/>
    </row>
    <row r="4" spans="1:12" x14ac:dyDescent="0.3">
      <c r="B4" s="3" t="s">
        <v>5</v>
      </c>
      <c r="C4" s="38">
        <v>3692298</v>
      </c>
      <c r="D4" s="38">
        <f>1396508</f>
        <v>1396508</v>
      </c>
      <c r="E4" s="38">
        <v>2180621</v>
      </c>
      <c r="F4" s="38">
        <v>1115006</v>
      </c>
      <c r="G4" s="38">
        <v>79002</v>
      </c>
      <c r="H4" s="39">
        <v>499900</v>
      </c>
      <c r="I4" s="40">
        <v>1129530</v>
      </c>
      <c r="J4" s="30">
        <v>530635</v>
      </c>
      <c r="K4" s="159">
        <f>SUM(Table4[[#This Row],[Quintiles]:[PRA]])</f>
        <v>10623500</v>
      </c>
    </row>
    <row r="5" spans="1:12" x14ac:dyDescent="0.3">
      <c r="B5" s="3" t="s">
        <v>6</v>
      </c>
      <c r="C5" s="38">
        <v>1173215</v>
      </c>
      <c r="D5" s="38">
        <f>221726</f>
        <v>221726</v>
      </c>
      <c r="E5" s="38">
        <v>181138</v>
      </c>
      <c r="F5" s="38">
        <v>388987</v>
      </c>
      <c r="G5" s="38">
        <v>19276</v>
      </c>
      <c r="H5" s="40" t="s">
        <v>22</v>
      </c>
      <c r="I5" s="40" t="s">
        <v>22</v>
      </c>
      <c r="J5" s="30">
        <v>62166</v>
      </c>
      <c r="K5" s="159">
        <f>SUM(Table4[[#This Row],[Quintiles]:[PRA]])</f>
        <v>2046508</v>
      </c>
    </row>
    <row r="6" spans="1:12" x14ac:dyDescent="0.3">
      <c r="A6" s="4"/>
      <c r="B6" s="49" t="s">
        <v>31</v>
      </c>
      <c r="C6" s="36"/>
      <c r="D6" s="38">
        <v>250800</v>
      </c>
      <c r="E6" s="36">
        <v>82000</v>
      </c>
      <c r="F6" s="36"/>
      <c r="G6" s="38"/>
      <c r="H6" s="13"/>
      <c r="I6" s="30"/>
      <c r="J6" s="30"/>
      <c r="K6" s="159">
        <f>SUM(Table4[[#This Row],[Quintiles]:[PRA]])</f>
        <v>332800</v>
      </c>
    </row>
    <row r="7" spans="1:12" x14ac:dyDescent="0.3">
      <c r="A7" s="4" t="s">
        <v>19</v>
      </c>
      <c r="B7" s="4"/>
      <c r="C7" s="30">
        <v>3692298</v>
      </c>
      <c r="D7" s="30">
        <f>D3-D5-D6</f>
        <v>1396508</v>
      </c>
      <c r="E7" s="30">
        <f>E3-E5-E6</f>
        <v>2180621</v>
      </c>
      <c r="F7" s="30">
        <f>F3-F5</f>
        <v>1115006</v>
      </c>
      <c r="G7" s="30">
        <v>79002</v>
      </c>
      <c r="H7" s="13">
        <v>499900</v>
      </c>
      <c r="I7" s="30">
        <v>1129530</v>
      </c>
      <c r="J7" s="30">
        <v>530635</v>
      </c>
      <c r="K7" s="159">
        <f>SUM(Table4[[#This Row],[Quintiles]:[PRA]])</f>
        <v>10623500</v>
      </c>
      <c r="L7" s="33"/>
    </row>
    <row r="8" spans="1:12" x14ac:dyDescent="0.3">
      <c r="A8" s="4" t="s">
        <v>11</v>
      </c>
      <c r="B8" s="4"/>
      <c r="C8" s="36">
        <f t="shared" ref="C8:I8" si="0">SUM(C9:C13)</f>
        <v>4469078</v>
      </c>
      <c r="D8" s="36">
        <f t="shared" si="0"/>
        <v>1529432</v>
      </c>
      <c r="E8" s="36">
        <f t="shared" si="0"/>
        <v>2249882</v>
      </c>
      <c r="F8" s="36">
        <f t="shared" si="0"/>
        <v>1434424</v>
      </c>
      <c r="G8" s="36">
        <f t="shared" si="0"/>
        <v>91770</v>
      </c>
      <c r="H8" s="36">
        <f t="shared" si="0"/>
        <v>410500</v>
      </c>
      <c r="I8" s="30">
        <f t="shared" si="0"/>
        <v>963765</v>
      </c>
      <c r="J8" s="30">
        <v>376737</v>
      </c>
      <c r="K8" s="159">
        <f>SUM(Table4[[#This Row],[Quintiles]:[PRA]])</f>
        <v>11525588</v>
      </c>
    </row>
    <row r="9" spans="1:12" x14ac:dyDescent="0.3">
      <c r="B9" s="3" t="s">
        <v>27</v>
      </c>
      <c r="C9" s="38">
        <v>2459367</v>
      </c>
      <c r="D9" s="38">
        <v>971829</v>
      </c>
      <c r="E9" s="38">
        <v>1570223</v>
      </c>
      <c r="F9" s="38">
        <v>718134</v>
      </c>
      <c r="G9" s="38">
        <v>48639</v>
      </c>
      <c r="H9" s="11">
        <v>93800</v>
      </c>
      <c r="I9" s="40">
        <v>733901</v>
      </c>
      <c r="J9" s="30"/>
      <c r="K9" s="159">
        <f>SUM(Table4[[#This Row],[Quintiles]:[PRA]])</f>
        <v>6595893</v>
      </c>
    </row>
    <row r="10" spans="1:12" x14ac:dyDescent="0.3">
      <c r="B10" s="3" t="s">
        <v>20</v>
      </c>
      <c r="C10" s="38">
        <v>1173215</v>
      </c>
      <c r="D10" s="38">
        <v>221726</v>
      </c>
      <c r="E10" s="38">
        <v>181138</v>
      </c>
      <c r="F10" s="38">
        <v>388987</v>
      </c>
      <c r="G10" s="38">
        <v>19276</v>
      </c>
      <c r="H10" s="40" t="s">
        <v>22</v>
      </c>
      <c r="I10" s="40" t="s">
        <v>22</v>
      </c>
      <c r="J10" s="30"/>
      <c r="K10" s="159">
        <f>SUM(Table4[[#This Row],[Quintiles]:[PRA]])</f>
        <v>1984342</v>
      </c>
    </row>
    <row r="11" spans="1:12" x14ac:dyDescent="0.3">
      <c r="B11" s="3" t="s">
        <v>12</v>
      </c>
      <c r="C11" s="38"/>
      <c r="D11" s="38"/>
      <c r="E11" s="38"/>
      <c r="F11" s="38"/>
      <c r="G11" s="38"/>
      <c r="H11" s="11"/>
      <c r="I11" s="40"/>
      <c r="J11" s="30"/>
      <c r="K11" s="159">
        <f>SUM(Table4[[#This Row],[Quintiles]:[PRA]])</f>
        <v>0</v>
      </c>
    </row>
    <row r="12" spans="1:12" x14ac:dyDescent="0.3">
      <c r="B12" s="3" t="s">
        <v>13</v>
      </c>
      <c r="C12" s="38"/>
      <c r="D12" s="38"/>
      <c r="E12" s="38"/>
      <c r="F12" s="38"/>
      <c r="G12" s="38"/>
      <c r="H12" s="11"/>
      <c r="I12" s="40"/>
      <c r="J12" s="30"/>
      <c r="K12" s="159">
        <f>SUM(Table4[[#This Row],[Quintiles]:[PRA]])</f>
        <v>0</v>
      </c>
    </row>
    <row r="13" spans="1:12" x14ac:dyDescent="0.3">
      <c r="B13" s="3" t="s">
        <v>10</v>
      </c>
      <c r="C13" s="38">
        <v>836496</v>
      </c>
      <c r="D13" s="38">
        <v>335877</v>
      </c>
      <c r="E13" s="38">
        <v>498521</v>
      </c>
      <c r="F13" s="38">
        <v>327303</v>
      </c>
      <c r="G13" s="38">
        <v>23855</v>
      </c>
      <c r="H13" s="11">
        <v>316700</v>
      </c>
      <c r="I13" s="40">
        <f>208248+3548+18068</f>
        <v>229864</v>
      </c>
      <c r="J13" s="30"/>
      <c r="K13" s="159">
        <f>SUM(Table4[[#This Row],[Quintiles]:[PRA]])</f>
        <v>2568616</v>
      </c>
    </row>
    <row r="14" spans="1:12" x14ac:dyDescent="0.3">
      <c r="A14" s="4" t="s">
        <v>24</v>
      </c>
      <c r="B14" s="4"/>
      <c r="C14" s="36">
        <f t="shared" ref="C14:H14" si="1">C3-C8</f>
        <v>396435</v>
      </c>
      <c r="D14" s="36">
        <f>D3-D6-D8</f>
        <v>88802</v>
      </c>
      <c r="E14" s="36">
        <f t="shared" si="1"/>
        <v>193877</v>
      </c>
      <c r="F14" s="36">
        <f t="shared" si="1"/>
        <v>69569</v>
      </c>
      <c r="G14" s="36">
        <f t="shared" si="1"/>
        <v>6508</v>
      </c>
      <c r="H14" s="36">
        <f t="shared" si="1"/>
        <v>89400</v>
      </c>
      <c r="I14" s="30">
        <v>165765</v>
      </c>
      <c r="J14" s="30">
        <f>J3-J8</f>
        <v>216064</v>
      </c>
      <c r="K14" s="159">
        <f>SUM(Table4[[#This Row],[Quintiles]:[PRA]])</f>
        <v>1226420</v>
      </c>
    </row>
    <row r="15" spans="1:12" x14ac:dyDescent="0.3">
      <c r="A15" s="18"/>
      <c r="B15" s="18" t="s">
        <v>16</v>
      </c>
      <c r="C15" s="41">
        <f t="shared" ref="C15:I15" si="2">C14/C4</f>
        <v>0.10736809434124765</v>
      </c>
      <c r="D15" s="41">
        <f t="shared" si="2"/>
        <v>6.3588608156917109E-2</v>
      </c>
      <c r="E15" s="41">
        <f t="shared" si="2"/>
        <v>8.8909076818025692E-2</v>
      </c>
      <c r="F15" s="41">
        <f t="shared" si="2"/>
        <v>6.2393386223930633E-2</v>
      </c>
      <c r="G15" s="41">
        <f t="shared" si="2"/>
        <v>8.2377661325029744E-2</v>
      </c>
      <c r="H15" s="41">
        <f t="shared" si="2"/>
        <v>0.17883576715343069</v>
      </c>
      <c r="I15" s="41">
        <f t="shared" si="2"/>
        <v>0.14675573025948846</v>
      </c>
      <c r="J15" s="30"/>
      <c r="K15" s="159">
        <f>SUM(Table4[[#This Row],[Quintiles]:[PRA]])</f>
        <v>0.73022832427806983</v>
      </c>
    </row>
    <row r="16" spans="1:12" s="34" customFormat="1" x14ac:dyDescent="0.3">
      <c r="A16" s="4" t="s">
        <v>25</v>
      </c>
      <c r="B16" s="4"/>
      <c r="C16" s="36">
        <v>176631</v>
      </c>
      <c r="D16" s="36">
        <v>63158</v>
      </c>
      <c r="E16" s="36">
        <v>94732</v>
      </c>
      <c r="F16" s="36">
        <v>58346</v>
      </c>
      <c r="G16" s="36">
        <v>3727</v>
      </c>
      <c r="H16" s="10">
        <v>23821</v>
      </c>
      <c r="I16" s="30">
        <v>102118</v>
      </c>
      <c r="J16" s="30">
        <v>126099</v>
      </c>
      <c r="K16" s="159">
        <f>SUM(Table4[[#This Row],[Quintiles]:[PRA]])</f>
        <v>648632</v>
      </c>
    </row>
    <row r="17" spans="1:12" x14ac:dyDescent="0.3">
      <c r="A17" s="4" t="s">
        <v>15</v>
      </c>
      <c r="B17" s="4"/>
      <c r="C17" s="36" t="s">
        <v>21</v>
      </c>
      <c r="D17" s="36">
        <v>1038700</v>
      </c>
      <c r="E17" s="42">
        <v>1385890</v>
      </c>
      <c r="F17" s="42">
        <v>1027500</v>
      </c>
      <c r="G17" s="43" t="s">
        <v>21</v>
      </c>
      <c r="H17" s="12" t="s">
        <v>21</v>
      </c>
      <c r="I17" s="42">
        <f>I7*I18</f>
        <v>694660.95</v>
      </c>
      <c r="J17" s="30"/>
      <c r="K17" s="159">
        <f>SUM(Table4[[#This Row],[Quintiles]:[PRA]])</f>
        <v>4146750.95</v>
      </c>
    </row>
    <row r="18" spans="1:12" x14ac:dyDescent="0.3">
      <c r="A18" s="51"/>
      <c r="B18" s="14" t="s">
        <v>16</v>
      </c>
      <c r="C18" s="31" t="e">
        <f>C17/C4</f>
        <v>#VALUE!</v>
      </c>
      <c r="D18" s="31">
        <f>D17/D4</f>
        <v>0.74378378068725703</v>
      </c>
      <c r="E18" s="31">
        <f>E17/E3</f>
        <v>0.56711402392789145</v>
      </c>
      <c r="F18" s="31">
        <f>F17/F3</f>
        <v>0.68318137118989253</v>
      </c>
      <c r="G18" s="31" t="e">
        <f>G17/G3</f>
        <v>#VALUE!</v>
      </c>
      <c r="H18" s="31" t="e">
        <f>H17/H3</f>
        <v>#VALUE!</v>
      </c>
      <c r="I18" s="31">
        <v>0.61499999999999999</v>
      </c>
      <c r="J18" s="30"/>
      <c r="K18" s="159" t="e">
        <f>SUM(Table4[[#This Row],[Quintiles]:[PRA]])</f>
        <v>#VALUE!</v>
      </c>
    </row>
    <row r="19" spans="1:12" s="45" customFormat="1" x14ac:dyDescent="0.3">
      <c r="A19" s="4" t="s">
        <v>17</v>
      </c>
      <c r="B19" s="4"/>
      <c r="C19" s="36">
        <v>8704500</v>
      </c>
      <c r="D19" s="36">
        <v>4394000</v>
      </c>
      <c r="E19" s="30">
        <v>6640000</v>
      </c>
      <c r="F19" s="30">
        <f>376000+405000+1172000+618000</f>
        <v>2571000</v>
      </c>
      <c r="G19" s="30">
        <v>122200</v>
      </c>
      <c r="H19" s="13" t="s">
        <v>21</v>
      </c>
      <c r="I19" s="30">
        <v>213900</v>
      </c>
      <c r="J19" s="42"/>
      <c r="K19" s="160">
        <f>SUM(Table4[[#This Row],[Quintiles]:[PRA]])</f>
        <v>22645600</v>
      </c>
      <c r="L19" s="46"/>
    </row>
    <row r="20" spans="1:12" s="48" customFormat="1" x14ac:dyDescent="0.3">
      <c r="A20" s="15" t="s">
        <v>18</v>
      </c>
      <c r="B20" s="15"/>
      <c r="C20" s="35" t="s">
        <v>23</v>
      </c>
      <c r="D20" s="35">
        <v>1.76</v>
      </c>
      <c r="E20" s="35">
        <v>1.32</v>
      </c>
      <c r="F20" s="35"/>
      <c r="G20" s="35" t="s">
        <v>21</v>
      </c>
      <c r="H20" s="16" t="s">
        <v>21</v>
      </c>
      <c r="I20" s="35" t="s">
        <v>21</v>
      </c>
      <c r="J20" s="47"/>
      <c r="K20" s="162">
        <f>SUM(Table4[[#This Row],[Quintiles]:[PRA]])</f>
        <v>3.08</v>
      </c>
    </row>
    <row r="21" spans="1:12" x14ac:dyDescent="0.3">
      <c r="J21" s="2"/>
    </row>
    <row r="23" spans="1:12" x14ac:dyDescent="0.3">
      <c r="C23" s="2"/>
      <c r="E23" s="2"/>
      <c r="F23" s="2"/>
      <c r="G23" s="2"/>
      <c r="H23" s="2"/>
    </row>
    <row r="24" spans="1:12" x14ac:dyDescent="0.3">
      <c r="C24" s="2"/>
      <c r="E24" s="2"/>
      <c r="F24" s="2"/>
      <c r="G24" s="2"/>
      <c r="H24" s="2"/>
    </row>
    <row r="38" spans="1:2" s="34" customFormat="1" x14ac:dyDescent="0.3">
      <c r="A38" s="50"/>
      <c r="B38" s="50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1"/>
  <sheetViews>
    <sheetView workbookViewId="0">
      <selection activeCell="D24" sqref="D24"/>
    </sheetView>
  </sheetViews>
  <sheetFormatPr defaultColWidth="8.77734375" defaultRowHeight="14.4" x14ac:dyDescent="0.3"/>
  <cols>
    <col min="1" max="1" width="20" style="1" customWidth="1"/>
    <col min="2" max="2" width="24.33203125" style="1" customWidth="1"/>
    <col min="3" max="3" width="16.77734375" customWidth="1"/>
    <col min="4" max="5" width="15.44140625" customWidth="1"/>
    <col min="6" max="6" width="13.109375" customWidth="1"/>
    <col min="7" max="7" width="14.33203125" customWidth="1"/>
    <col min="8" max="8" width="14.44140625" customWidth="1"/>
    <col min="9" max="9" width="14.6640625" customWidth="1"/>
    <col min="10" max="10" width="10.44140625" bestFit="1" customWidth="1"/>
  </cols>
  <sheetData>
    <row r="1" spans="1:10" ht="19.8" x14ac:dyDescent="0.4">
      <c r="A1" s="32" t="s">
        <v>43</v>
      </c>
      <c r="C1" s="1"/>
      <c r="D1" s="1"/>
      <c r="E1" s="1"/>
      <c r="F1" s="1"/>
      <c r="G1" s="1"/>
      <c r="I1" s="1"/>
    </row>
    <row r="2" spans="1:10" x14ac:dyDescent="0.3">
      <c r="A2" s="1" t="s">
        <v>29</v>
      </c>
      <c r="B2" s="1" t="s">
        <v>28</v>
      </c>
      <c r="C2" s="1" t="s">
        <v>0</v>
      </c>
      <c r="D2" s="23" t="s">
        <v>1</v>
      </c>
      <c r="E2" s="23" t="s">
        <v>2</v>
      </c>
      <c r="F2" s="23" t="s">
        <v>8</v>
      </c>
      <c r="G2" s="23" t="s">
        <v>3</v>
      </c>
      <c r="H2" s="24" t="s">
        <v>4</v>
      </c>
      <c r="I2" s="23" t="s">
        <v>9</v>
      </c>
      <c r="J2" t="s">
        <v>54</v>
      </c>
    </row>
    <row r="3" spans="1:10" x14ac:dyDescent="0.3">
      <c r="A3" s="4" t="s">
        <v>14</v>
      </c>
      <c r="B3" s="4"/>
      <c r="C3" s="5"/>
      <c r="D3" s="36">
        <f t="shared" ref="D3:I3" si="0">SUM(D4:D6)</f>
        <v>462520</v>
      </c>
      <c r="E3" s="36">
        <f t="shared" si="0"/>
        <v>609144</v>
      </c>
      <c r="F3" s="36">
        <f t="shared" si="0"/>
        <v>406353</v>
      </c>
      <c r="G3" s="36">
        <f t="shared" si="0"/>
        <v>27607</v>
      </c>
      <c r="H3" s="36">
        <f t="shared" si="0"/>
        <v>125659</v>
      </c>
      <c r="I3" s="36">
        <f t="shared" si="0"/>
        <v>280140</v>
      </c>
      <c r="J3" s="157"/>
    </row>
    <row r="4" spans="1:10" x14ac:dyDescent="0.3">
      <c r="B4" s="3" t="s">
        <v>5</v>
      </c>
      <c r="C4" s="7"/>
      <c r="D4" s="38">
        <v>394753</v>
      </c>
      <c r="E4" s="38">
        <v>562180</v>
      </c>
      <c r="F4" s="2">
        <v>300164</v>
      </c>
      <c r="G4" s="38">
        <v>22167</v>
      </c>
      <c r="H4" s="39">
        <v>125659</v>
      </c>
      <c r="I4" s="40">
        <v>280140</v>
      </c>
      <c r="J4" s="6"/>
    </row>
    <row r="5" spans="1:10" x14ac:dyDescent="0.3">
      <c r="B5" s="3" t="s">
        <v>6</v>
      </c>
      <c r="C5" s="7"/>
      <c r="D5" s="38">
        <v>67767</v>
      </c>
      <c r="E5" s="38">
        <v>46964</v>
      </c>
      <c r="F5" s="2">
        <v>106189</v>
      </c>
      <c r="G5" s="38">
        <v>5440</v>
      </c>
      <c r="H5" s="40"/>
      <c r="I5" s="40"/>
      <c r="J5" s="6"/>
    </row>
    <row r="6" spans="1:10" x14ac:dyDescent="0.3">
      <c r="A6" s="4"/>
      <c r="B6" s="49" t="s">
        <v>32</v>
      </c>
      <c r="C6" s="5"/>
      <c r="D6" s="38"/>
      <c r="E6" s="36"/>
      <c r="F6" s="30"/>
      <c r="G6" s="38"/>
      <c r="H6" s="13"/>
      <c r="I6" s="30"/>
      <c r="J6" s="6"/>
    </row>
    <row r="7" spans="1:10" x14ac:dyDescent="0.3">
      <c r="A7" s="4" t="s">
        <v>19</v>
      </c>
      <c r="B7" s="4"/>
      <c r="C7" s="6"/>
      <c r="D7" s="30">
        <v>394753</v>
      </c>
      <c r="E7" s="30">
        <v>562180</v>
      </c>
      <c r="F7" s="2">
        <v>300164</v>
      </c>
      <c r="G7" s="2">
        <v>22167</v>
      </c>
      <c r="H7" s="13">
        <v>125659</v>
      </c>
      <c r="I7" s="30">
        <v>280140</v>
      </c>
      <c r="J7" s="6"/>
    </row>
    <row r="8" spans="1:10" x14ac:dyDescent="0.3">
      <c r="A8" s="4" t="s">
        <v>11</v>
      </c>
      <c r="B8" s="4"/>
      <c r="C8" s="5"/>
      <c r="D8" s="36">
        <f>SUM(D9:D13)</f>
        <v>432768</v>
      </c>
      <c r="E8" s="36">
        <f>SUM(E9:E13)</f>
        <v>566051</v>
      </c>
      <c r="F8" s="36">
        <f>SUM(F9:F13)</f>
        <v>381951</v>
      </c>
      <c r="G8" s="36">
        <f>SUM(G9:G13)</f>
        <v>25489</v>
      </c>
      <c r="H8" s="36">
        <f>SUM(H9:H13)</f>
        <v>102102</v>
      </c>
      <c r="I8" s="36">
        <v>245071</v>
      </c>
      <c r="J8" s="6"/>
    </row>
    <row r="9" spans="1:10" x14ac:dyDescent="0.3">
      <c r="B9" s="3" t="s">
        <v>27</v>
      </c>
      <c r="C9" s="7"/>
      <c r="D9" s="38">
        <v>279404</v>
      </c>
      <c r="E9" s="38">
        <v>395841</v>
      </c>
      <c r="F9" s="2">
        <v>192007</v>
      </c>
      <c r="G9" s="36">
        <v>13391</v>
      </c>
      <c r="H9" s="11">
        <v>76895</v>
      </c>
      <c r="I9" s="40"/>
      <c r="J9" s="6"/>
    </row>
    <row r="10" spans="1:10" x14ac:dyDescent="0.3">
      <c r="B10" s="3" t="s">
        <v>20</v>
      </c>
      <c r="C10" s="8"/>
      <c r="D10" s="38">
        <v>67767</v>
      </c>
      <c r="E10" s="38">
        <v>46964</v>
      </c>
      <c r="F10" s="2">
        <v>106189</v>
      </c>
      <c r="G10" s="38">
        <v>5440</v>
      </c>
      <c r="H10" s="40"/>
      <c r="I10" s="40"/>
      <c r="J10" s="6"/>
    </row>
    <row r="11" spans="1:10" x14ac:dyDescent="0.3">
      <c r="B11" s="3" t="s">
        <v>12</v>
      </c>
      <c r="C11" s="7"/>
      <c r="D11" s="38"/>
      <c r="E11" s="38"/>
      <c r="F11" s="2"/>
      <c r="G11" s="38"/>
      <c r="H11" s="11"/>
      <c r="I11" s="40"/>
      <c r="J11" s="6"/>
    </row>
    <row r="12" spans="1:10" x14ac:dyDescent="0.3">
      <c r="B12" s="3" t="s">
        <v>13</v>
      </c>
      <c r="C12" s="7"/>
      <c r="D12" s="38"/>
      <c r="E12" s="38"/>
      <c r="F12" s="2"/>
      <c r="G12" s="38"/>
      <c r="H12" s="11"/>
      <c r="I12" s="40"/>
      <c r="J12" s="6"/>
    </row>
    <row r="13" spans="1:10" x14ac:dyDescent="0.3">
      <c r="B13" s="3" t="s">
        <v>10</v>
      </c>
      <c r="C13" s="7"/>
      <c r="D13" s="38">
        <f>70028+14795+1084-310</f>
        <v>85597</v>
      </c>
      <c r="E13" s="38">
        <f>92823+30423</f>
        <v>123246</v>
      </c>
      <c r="F13" s="2">
        <f>73165+10590</f>
        <v>83755</v>
      </c>
      <c r="G13" s="38">
        <f>2884+3479+105+190</f>
        <v>6658</v>
      </c>
      <c r="H13" s="11">
        <v>25207</v>
      </c>
      <c r="I13" s="40"/>
      <c r="J13" s="6"/>
    </row>
    <row r="14" spans="1:10" x14ac:dyDescent="0.3">
      <c r="A14" s="4" t="s">
        <v>24</v>
      </c>
      <c r="B14" s="4"/>
      <c r="C14" s="5"/>
      <c r="D14" s="36">
        <f t="shared" ref="D14:I14" si="1">D3-D6-D8</f>
        <v>29752</v>
      </c>
      <c r="E14" s="36">
        <f t="shared" si="1"/>
        <v>43093</v>
      </c>
      <c r="F14" s="36">
        <f t="shared" si="1"/>
        <v>24402</v>
      </c>
      <c r="G14" s="36">
        <f t="shared" si="1"/>
        <v>2118</v>
      </c>
      <c r="H14" s="36">
        <f t="shared" si="1"/>
        <v>23557</v>
      </c>
      <c r="I14" s="36">
        <f t="shared" si="1"/>
        <v>35069</v>
      </c>
      <c r="J14" s="6"/>
    </row>
    <row r="15" spans="1:10" x14ac:dyDescent="0.3">
      <c r="A15" s="18"/>
      <c r="B15" s="18" t="s">
        <v>16</v>
      </c>
      <c r="C15" s="17"/>
      <c r="D15" s="41">
        <f t="shared" ref="D15:I15" si="2">D14/D4</f>
        <v>7.5368648243331907E-2</v>
      </c>
      <c r="E15" s="41">
        <f t="shared" si="2"/>
        <v>7.6653385036820954E-2</v>
      </c>
      <c r="F15" s="41">
        <f t="shared" si="2"/>
        <v>8.1295558428059328E-2</v>
      </c>
      <c r="G15" s="41">
        <f t="shared" si="2"/>
        <v>9.5547435376911627E-2</v>
      </c>
      <c r="H15" s="41">
        <f t="shared" si="2"/>
        <v>0.18746767044143275</v>
      </c>
      <c r="I15" s="41">
        <f t="shared" si="2"/>
        <v>0.12518383665310201</v>
      </c>
      <c r="J15" s="6"/>
    </row>
    <row r="16" spans="1:10" x14ac:dyDescent="0.3">
      <c r="A16" s="4" t="s">
        <v>30</v>
      </c>
      <c r="B16" s="4"/>
      <c r="C16" s="5"/>
      <c r="D16" s="36">
        <v>15064</v>
      </c>
      <c r="E16" s="36">
        <v>33897</v>
      </c>
      <c r="F16" s="2">
        <v>20747</v>
      </c>
      <c r="G16" s="36">
        <v>1158</v>
      </c>
      <c r="H16" s="10">
        <v>23821</v>
      </c>
      <c r="I16" s="30">
        <v>18528</v>
      </c>
      <c r="J16" s="6"/>
    </row>
    <row r="17" spans="1:10" x14ac:dyDescent="0.3">
      <c r="A17" s="4" t="s">
        <v>15</v>
      </c>
      <c r="B17" s="4"/>
      <c r="C17" s="5"/>
      <c r="D17" s="36"/>
      <c r="E17" s="42"/>
      <c r="F17" s="2"/>
      <c r="G17" s="43"/>
      <c r="H17" s="12"/>
      <c r="I17" s="42"/>
      <c r="J17" s="6"/>
    </row>
    <row r="18" spans="1:10" x14ac:dyDescent="0.3">
      <c r="A18" s="52"/>
      <c r="B18" s="9" t="s">
        <v>16</v>
      </c>
      <c r="C18" s="9"/>
      <c r="D18" s="31"/>
      <c r="E18" s="31"/>
      <c r="F18" s="2"/>
      <c r="G18" s="31"/>
      <c r="H18" s="31"/>
      <c r="I18" s="31"/>
      <c r="J18" s="6"/>
    </row>
    <row r="19" spans="1:10" x14ac:dyDescent="0.3">
      <c r="A19" s="4" t="s">
        <v>17</v>
      </c>
      <c r="B19" s="4"/>
      <c r="C19" s="5"/>
      <c r="D19" s="36">
        <v>4400000</v>
      </c>
      <c r="E19" s="30">
        <v>6640000</v>
      </c>
      <c r="F19" s="2">
        <v>2800000</v>
      </c>
      <c r="G19" s="30">
        <v>122200</v>
      </c>
      <c r="H19" s="13"/>
      <c r="I19" s="83">
        <v>213900</v>
      </c>
      <c r="J19" s="6"/>
    </row>
    <row r="20" spans="1:10" x14ac:dyDescent="0.3">
      <c r="A20" s="15" t="s">
        <v>18</v>
      </c>
      <c r="B20" s="15"/>
      <c r="C20" s="15"/>
      <c r="D20" s="35">
        <v>1.53</v>
      </c>
      <c r="E20" s="35">
        <v>1.37</v>
      </c>
      <c r="F20" s="35">
        <v>1.26</v>
      </c>
      <c r="G20" s="35"/>
      <c r="H20" s="16"/>
      <c r="I20" s="35"/>
      <c r="J20" s="6"/>
    </row>
    <row r="21" spans="1:10" s="1" customFormat="1" x14ac:dyDescent="0.3">
      <c r="A21" s="15"/>
      <c r="B21" s="15"/>
      <c r="C21" s="19"/>
      <c r="D21" s="84"/>
      <c r="E21" s="85"/>
      <c r="F21"/>
      <c r="G21"/>
      <c r="H21" s="86"/>
      <c r="I21" s="85"/>
      <c r="J21" s="20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workbookViewId="0">
      <selection activeCell="G28" sqref="G28"/>
    </sheetView>
  </sheetViews>
  <sheetFormatPr defaultColWidth="8.77734375" defaultRowHeight="14.4" x14ac:dyDescent="0.3"/>
  <cols>
    <col min="1" max="1" width="20" style="1" customWidth="1"/>
    <col min="2" max="2" width="24.33203125" style="1" customWidth="1"/>
    <col min="3" max="3" width="16.77734375" customWidth="1"/>
    <col min="4" max="5" width="15.44140625" customWidth="1"/>
    <col min="6" max="6" width="13.109375" customWidth="1"/>
    <col min="7" max="7" width="14.33203125" customWidth="1"/>
    <col min="8" max="8" width="14.44140625" customWidth="1"/>
    <col min="9" max="9" width="14.6640625" customWidth="1"/>
  </cols>
  <sheetData>
    <row r="1" spans="1:9" ht="19.8" x14ac:dyDescent="0.4">
      <c r="A1" s="32" t="s">
        <v>37</v>
      </c>
      <c r="C1" s="1"/>
      <c r="D1" s="1"/>
      <c r="E1" s="1"/>
      <c r="F1" s="1"/>
      <c r="G1" s="1"/>
      <c r="I1" s="1"/>
    </row>
    <row r="2" spans="1:9" s="53" customFormat="1" x14ac:dyDescent="0.3">
      <c r="A2" s="27" t="s">
        <v>29</v>
      </c>
      <c r="B2" s="27" t="s">
        <v>28</v>
      </c>
      <c r="C2" s="53" t="s">
        <v>0</v>
      </c>
      <c r="D2" s="53" t="s">
        <v>1</v>
      </c>
      <c r="E2" s="53" t="s">
        <v>2</v>
      </c>
      <c r="F2" s="53" t="s">
        <v>8</v>
      </c>
      <c r="G2" s="53" t="s">
        <v>3</v>
      </c>
      <c r="H2" s="53" t="s">
        <v>4</v>
      </c>
      <c r="I2" s="53" t="s">
        <v>9</v>
      </c>
    </row>
    <row r="3" spans="1:9" x14ac:dyDescent="0.3">
      <c r="A3" s="4" t="s">
        <v>14</v>
      </c>
      <c r="B3" s="4"/>
      <c r="C3" s="36">
        <f>SUM(C4:C5)</f>
        <v>0</v>
      </c>
      <c r="D3" s="36">
        <f>SUM(D4:D6)</f>
        <v>476998</v>
      </c>
      <c r="E3" s="36">
        <f>SUM(E4:E6)</f>
        <v>626770</v>
      </c>
      <c r="F3" s="36">
        <f>SUM(F4:F5)</f>
        <v>374965</v>
      </c>
      <c r="G3" s="36">
        <f>SUM(G4:G5)</f>
        <v>24928</v>
      </c>
      <c r="H3" s="10">
        <v>125844</v>
      </c>
      <c r="I3" s="30">
        <v>278686</v>
      </c>
    </row>
    <row r="4" spans="1:9" x14ac:dyDescent="0.3">
      <c r="B4" s="3" t="s">
        <v>5</v>
      </c>
      <c r="C4" s="38"/>
      <c r="D4" s="38">
        <v>355992</v>
      </c>
      <c r="E4" s="38">
        <v>544818</v>
      </c>
      <c r="F4" s="2">
        <v>285502</v>
      </c>
      <c r="G4" s="38">
        <v>19227</v>
      </c>
      <c r="H4" s="39">
        <v>125844</v>
      </c>
      <c r="I4" s="40">
        <v>278686</v>
      </c>
    </row>
    <row r="5" spans="1:9" x14ac:dyDescent="0.3">
      <c r="B5" s="3" t="s">
        <v>6</v>
      </c>
      <c r="C5" s="38"/>
      <c r="D5" s="38">
        <v>56037</v>
      </c>
      <c r="E5" s="38">
        <v>52844</v>
      </c>
      <c r="F5" s="2">
        <v>89463</v>
      </c>
      <c r="G5" s="38">
        <v>5701</v>
      </c>
      <c r="H5" s="40" t="s">
        <v>22</v>
      </c>
      <c r="I5" s="40" t="s">
        <v>22</v>
      </c>
    </row>
    <row r="6" spans="1:9" x14ac:dyDescent="0.3">
      <c r="A6" s="4"/>
      <c r="B6" s="49" t="s">
        <v>32</v>
      </c>
      <c r="C6" s="36"/>
      <c r="D6" s="38">
        <v>64969</v>
      </c>
      <c r="E6" s="36">
        <v>29108</v>
      </c>
      <c r="F6" s="30"/>
      <c r="G6" s="38"/>
      <c r="H6" s="13"/>
      <c r="I6" s="30"/>
    </row>
    <row r="7" spans="1:9" x14ac:dyDescent="0.3">
      <c r="A7" s="4" t="s">
        <v>19</v>
      </c>
      <c r="B7" s="4"/>
      <c r="C7" s="30"/>
      <c r="D7" s="30">
        <v>355992</v>
      </c>
      <c r="E7" s="30">
        <v>544818</v>
      </c>
      <c r="F7" s="2">
        <v>285502</v>
      </c>
      <c r="G7" s="30">
        <v>19227</v>
      </c>
      <c r="H7" s="13">
        <v>125844</v>
      </c>
      <c r="I7" s="30">
        <v>278686</v>
      </c>
    </row>
    <row r="8" spans="1:9" x14ac:dyDescent="0.3">
      <c r="A8" s="4" t="s">
        <v>11</v>
      </c>
      <c r="B8" s="4"/>
      <c r="C8" s="36">
        <f t="shared" ref="C8:H8" si="0">SUM(C9:C13)</f>
        <v>0</v>
      </c>
      <c r="D8" s="36">
        <f t="shared" si="0"/>
        <v>383812</v>
      </c>
      <c r="E8" s="36">
        <f t="shared" si="0"/>
        <v>567071</v>
      </c>
      <c r="F8" s="36">
        <f t="shared" si="0"/>
        <v>354086</v>
      </c>
      <c r="G8" s="36">
        <f t="shared" si="0"/>
        <v>23832</v>
      </c>
      <c r="H8" s="36">
        <f t="shared" si="0"/>
        <v>104394</v>
      </c>
      <c r="I8" s="30">
        <v>241004</v>
      </c>
    </row>
    <row r="9" spans="1:9" x14ac:dyDescent="0.3">
      <c r="B9" s="3" t="s">
        <v>27</v>
      </c>
      <c r="C9" s="38"/>
      <c r="D9" s="38">
        <v>241445</v>
      </c>
      <c r="E9" s="38">
        <v>389724</v>
      </c>
      <c r="F9" s="2">
        <v>183332</v>
      </c>
      <c r="G9" s="38">
        <v>11968</v>
      </c>
      <c r="H9" s="11">
        <v>79754</v>
      </c>
      <c r="I9" s="40"/>
    </row>
    <row r="10" spans="1:9" x14ac:dyDescent="0.3">
      <c r="B10" s="3" t="s">
        <v>20</v>
      </c>
      <c r="C10" s="38"/>
      <c r="D10" s="38">
        <v>56037</v>
      </c>
      <c r="E10" s="38">
        <v>52844</v>
      </c>
      <c r="F10" s="2">
        <v>89463</v>
      </c>
      <c r="G10" s="38">
        <v>5701</v>
      </c>
      <c r="H10" s="40" t="s">
        <v>22</v>
      </c>
      <c r="I10" s="40" t="s">
        <v>22</v>
      </c>
    </row>
    <row r="11" spans="1:9" x14ac:dyDescent="0.3">
      <c r="B11" s="3" t="s">
        <v>12</v>
      </c>
      <c r="C11" s="38"/>
      <c r="D11" s="38"/>
      <c r="E11" s="38"/>
      <c r="F11" s="2"/>
      <c r="G11" s="38"/>
      <c r="H11" s="11"/>
      <c r="I11" s="40"/>
    </row>
    <row r="12" spans="1:9" x14ac:dyDescent="0.3">
      <c r="B12" s="3" t="s">
        <v>13</v>
      </c>
      <c r="C12" s="38"/>
      <c r="D12" s="38"/>
      <c r="E12" s="38"/>
      <c r="F12" s="2"/>
      <c r="G12" s="38"/>
      <c r="H12" s="11"/>
      <c r="I12" s="40"/>
    </row>
    <row r="13" spans="1:9" x14ac:dyDescent="0.3">
      <c r="B13" s="3" t="s">
        <v>10</v>
      </c>
      <c r="C13" s="38"/>
      <c r="D13" s="38">
        <f>67159+15166+2198+1807</f>
        <v>86330</v>
      </c>
      <c r="E13" s="38">
        <v>124503</v>
      </c>
      <c r="F13" s="2">
        <f>70690+10601</f>
        <v>81291</v>
      </c>
      <c r="G13" s="38">
        <f>2489+2697+138+839</f>
        <v>6163</v>
      </c>
      <c r="H13" s="11">
        <v>24640</v>
      </c>
      <c r="I13" s="40"/>
    </row>
    <row r="14" spans="1:9" x14ac:dyDescent="0.3">
      <c r="A14" s="4" t="s">
        <v>24</v>
      </c>
      <c r="B14" s="4"/>
      <c r="C14" s="36">
        <f t="shared" ref="C14:H14" si="1">C3-C8</f>
        <v>0</v>
      </c>
      <c r="D14" s="36">
        <f>D3-D6-D8</f>
        <v>28217</v>
      </c>
      <c r="E14" s="36">
        <f>E3-E6-E8</f>
        <v>30591</v>
      </c>
      <c r="F14" s="36">
        <f t="shared" si="1"/>
        <v>20879</v>
      </c>
      <c r="G14" s="36">
        <f t="shared" si="1"/>
        <v>1096</v>
      </c>
      <c r="H14" s="36">
        <f t="shared" si="1"/>
        <v>21450</v>
      </c>
      <c r="I14" s="30">
        <v>37682</v>
      </c>
    </row>
    <row r="15" spans="1:9" x14ac:dyDescent="0.3">
      <c r="A15" s="18"/>
      <c r="B15" s="18" t="s">
        <v>16</v>
      </c>
      <c r="C15" s="41" t="e">
        <f t="shared" ref="C15:I15" si="2">C14/C4</f>
        <v>#DIV/0!</v>
      </c>
      <c r="D15" s="41">
        <f t="shared" si="2"/>
        <v>7.926301714645273E-2</v>
      </c>
      <c r="E15" s="41">
        <f t="shared" si="2"/>
        <v>5.6149025913240752E-2</v>
      </c>
      <c r="F15" s="41">
        <f t="shared" si="2"/>
        <v>7.3130836211305006E-2</v>
      </c>
      <c r="G15" s="41">
        <f t="shared" si="2"/>
        <v>5.7003172621833881E-2</v>
      </c>
      <c r="H15" s="41">
        <f t="shared" si="2"/>
        <v>0.17044912749117955</v>
      </c>
      <c r="I15" s="41">
        <f t="shared" si="2"/>
        <v>0.13521310722461838</v>
      </c>
    </row>
    <row r="16" spans="1:9" x14ac:dyDescent="0.3">
      <c r="A16" s="4" t="s">
        <v>30</v>
      </c>
      <c r="B16" s="4"/>
      <c r="C16" s="36"/>
      <c r="D16" s="36">
        <v>22869</v>
      </c>
      <c r="E16" s="36">
        <v>37820</v>
      </c>
      <c r="F16" s="2">
        <v>17738</v>
      </c>
      <c r="G16" s="36">
        <v>542</v>
      </c>
      <c r="H16" s="10">
        <v>21283</v>
      </c>
      <c r="I16" s="30">
        <v>21972</v>
      </c>
    </row>
    <row r="17" spans="1:9" x14ac:dyDescent="0.3">
      <c r="A17" s="4" t="s">
        <v>15</v>
      </c>
      <c r="B17" s="4"/>
      <c r="C17" s="36"/>
      <c r="D17" s="36">
        <v>263372</v>
      </c>
      <c r="E17" s="42"/>
      <c r="F17" s="2"/>
      <c r="G17" s="43"/>
      <c r="H17" s="12"/>
      <c r="I17" s="42"/>
    </row>
    <row r="18" spans="1:9" x14ac:dyDescent="0.3">
      <c r="A18" s="51"/>
      <c r="B18" s="14" t="s">
        <v>16</v>
      </c>
      <c r="C18" s="31" t="e">
        <f>C17/C4</f>
        <v>#DIV/0!</v>
      </c>
      <c r="D18" s="31">
        <f>D17/D4</f>
        <v>0.73982561405874292</v>
      </c>
      <c r="E18" s="31">
        <f>E17/E3</f>
        <v>0</v>
      </c>
      <c r="F18" s="2"/>
      <c r="G18" s="31">
        <f>G17/G3</f>
        <v>0</v>
      </c>
      <c r="H18" s="31">
        <f>H17/H3</f>
        <v>0</v>
      </c>
      <c r="I18" s="31">
        <f>I17/I3</f>
        <v>0</v>
      </c>
    </row>
    <row r="19" spans="1:9" x14ac:dyDescent="0.3">
      <c r="A19" s="4" t="s">
        <v>17</v>
      </c>
      <c r="B19" s="4"/>
      <c r="C19" s="36"/>
      <c r="D19" s="36">
        <v>4200000</v>
      </c>
      <c r="E19" s="30"/>
      <c r="F19" s="2">
        <v>2700000</v>
      </c>
      <c r="G19" s="30">
        <v>114100</v>
      </c>
      <c r="H19" s="13"/>
      <c r="I19" s="30"/>
    </row>
    <row r="20" spans="1:9" x14ac:dyDescent="0.3">
      <c r="A20" s="15" t="s">
        <v>18</v>
      </c>
      <c r="B20" s="15"/>
      <c r="C20" s="35"/>
      <c r="D20" s="35">
        <v>2.23</v>
      </c>
      <c r="E20" s="35"/>
      <c r="F20" s="2">
        <v>1.7</v>
      </c>
      <c r="G20" s="35"/>
      <c r="H20" s="16"/>
      <c r="I20" s="35"/>
    </row>
    <row r="21" spans="1:9" s="1" customFormat="1" x14ac:dyDescent="0.3">
      <c r="A21" s="15"/>
      <c r="B21" s="15"/>
      <c r="C21" s="19"/>
      <c r="D21" s="21"/>
      <c r="E21" s="20"/>
      <c r="H21" s="22"/>
      <c r="I21" s="20"/>
    </row>
  </sheetData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0"/>
  <sheetViews>
    <sheetView workbookViewId="0">
      <selection activeCell="C6" sqref="C6"/>
    </sheetView>
  </sheetViews>
  <sheetFormatPr defaultColWidth="8.77734375" defaultRowHeight="14.4" x14ac:dyDescent="0.3"/>
  <cols>
    <col min="1" max="1" width="21.44140625" style="1" customWidth="1"/>
    <col min="2" max="2" width="23.33203125" style="1" customWidth="1"/>
    <col min="3" max="3" width="17.109375" customWidth="1"/>
    <col min="4" max="4" width="13.6640625" customWidth="1"/>
    <col min="5" max="5" width="15.44140625" customWidth="1"/>
    <col min="6" max="6" width="13.77734375" customWidth="1"/>
    <col min="7" max="7" width="15.44140625" customWidth="1"/>
    <col min="8" max="8" width="14.77734375" customWidth="1"/>
    <col min="9" max="9" width="17.109375" customWidth="1"/>
  </cols>
  <sheetData>
    <row r="1" spans="1:9" ht="19.8" x14ac:dyDescent="0.4">
      <c r="A1" s="32" t="s">
        <v>36</v>
      </c>
      <c r="C1" s="1"/>
      <c r="D1" s="1"/>
      <c r="E1" s="1"/>
      <c r="F1" s="1"/>
      <c r="G1" s="1"/>
      <c r="I1" s="1"/>
    </row>
    <row r="2" spans="1:9" x14ac:dyDescent="0.3">
      <c r="A2" s="90" t="s">
        <v>29</v>
      </c>
      <c r="B2" s="91" t="s">
        <v>28</v>
      </c>
      <c r="C2" s="91" t="s">
        <v>0</v>
      </c>
      <c r="D2" s="91" t="s">
        <v>1</v>
      </c>
      <c r="E2" s="91" t="s">
        <v>2</v>
      </c>
      <c r="F2" s="91" t="s">
        <v>8</v>
      </c>
      <c r="G2" s="91" t="s">
        <v>3</v>
      </c>
      <c r="H2" s="92" t="s">
        <v>4</v>
      </c>
      <c r="I2" s="93" t="s">
        <v>9</v>
      </c>
    </row>
    <row r="3" spans="1:9" x14ac:dyDescent="0.3">
      <c r="A3" s="94" t="s">
        <v>14</v>
      </c>
      <c r="B3" s="95"/>
      <c r="C3" s="96">
        <f>SUM(C4:C5)</f>
        <v>0</v>
      </c>
      <c r="D3" s="96">
        <f>SUM(D4:D6)</f>
        <v>442420</v>
      </c>
      <c r="E3" s="96">
        <f>SUM(E4:E6)</f>
        <v>615367</v>
      </c>
      <c r="F3" s="96">
        <f>SUM(F4:F5)</f>
        <v>379620</v>
      </c>
      <c r="G3" s="96">
        <f>SUM(G4:G5)</f>
        <v>23058</v>
      </c>
      <c r="H3" s="97">
        <v>130381</v>
      </c>
      <c r="I3" s="98">
        <v>284723</v>
      </c>
    </row>
    <row r="4" spans="1:9" x14ac:dyDescent="0.3">
      <c r="A4" s="94"/>
      <c r="B4" s="99" t="s">
        <v>5</v>
      </c>
      <c r="C4" s="100"/>
      <c r="D4" s="100">
        <v>333170</v>
      </c>
      <c r="E4" s="100">
        <v>542782</v>
      </c>
      <c r="F4" s="100">
        <v>277007</v>
      </c>
      <c r="G4" s="100">
        <v>19057</v>
      </c>
      <c r="H4" s="101">
        <v>130381</v>
      </c>
      <c r="I4" s="102">
        <v>284723</v>
      </c>
    </row>
    <row r="5" spans="1:9" x14ac:dyDescent="0.3">
      <c r="A5" s="94"/>
      <c r="B5" s="99" t="s">
        <v>6</v>
      </c>
      <c r="C5" s="100"/>
      <c r="D5" s="100">
        <v>54641</v>
      </c>
      <c r="E5" s="100">
        <v>42263</v>
      </c>
      <c r="F5" s="100">
        <v>102613</v>
      </c>
      <c r="G5" s="100">
        <v>4001</v>
      </c>
      <c r="H5" s="103" t="s">
        <v>22</v>
      </c>
      <c r="I5" s="102" t="s">
        <v>22</v>
      </c>
    </row>
    <row r="6" spans="1:9" x14ac:dyDescent="0.3">
      <c r="A6" s="94"/>
      <c r="B6" s="99" t="s">
        <v>32</v>
      </c>
      <c r="C6" s="96"/>
      <c r="D6" s="100">
        <v>54609</v>
      </c>
      <c r="E6" s="96">
        <v>30322</v>
      </c>
      <c r="F6" s="96"/>
      <c r="G6" s="100"/>
      <c r="H6" s="104"/>
      <c r="I6" s="98"/>
    </row>
    <row r="7" spans="1:9" x14ac:dyDescent="0.3">
      <c r="A7" s="94" t="s">
        <v>19</v>
      </c>
      <c r="B7" s="95"/>
      <c r="C7" s="105"/>
      <c r="D7" s="105">
        <v>331170</v>
      </c>
      <c r="E7" s="105">
        <v>542782</v>
      </c>
      <c r="F7" s="105">
        <v>277007</v>
      </c>
      <c r="G7" s="105">
        <v>19057</v>
      </c>
      <c r="H7" s="104">
        <v>130381</v>
      </c>
      <c r="I7" s="98">
        <v>284723</v>
      </c>
    </row>
    <row r="8" spans="1:9" x14ac:dyDescent="0.3">
      <c r="A8" s="94" t="s">
        <v>11</v>
      </c>
      <c r="B8" s="95"/>
      <c r="C8" s="96">
        <f t="shared" ref="C8:H8" si="0">SUM(C9:C13)</f>
        <v>0</v>
      </c>
      <c r="D8" s="96">
        <f t="shared" si="0"/>
        <v>365215</v>
      </c>
      <c r="E8" s="96">
        <f t="shared" si="0"/>
        <v>588974</v>
      </c>
      <c r="F8" s="96">
        <f t="shared" si="0"/>
        <v>362980</v>
      </c>
      <c r="G8" s="96">
        <f t="shared" si="0"/>
        <v>21348</v>
      </c>
      <c r="H8" s="96">
        <f t="shared" si="0"/>
        <v>106606</v>
      </c>
      <c r="I8" s="106">
        <v>235449</v>
      </c>
    </row>
    <row r="9" spans="1:9" x14ac:dyDescent="0.3">
      <c r="A9" s="94"/>
      <c r="B9" s="99" t="s">
        <v>27</v>
      </c>
      <c r="C9" s="100"/>
      <c r="D9" s="100">
        <v>228099</v>
      </c>
      <c r="E9" s="100">
        <v>408198</v>
      </c>
      <c r="F9" s="100">
        <v>180127</v>
      </c>
      <c r="G9" s="100">
        <v>11682</v>
      </c>
      <c r="H9" s="107">
        <v>83886</v>
      </c>
      <c r="I9" s="102"/>
    </row>
    <row r="10" spans="1:9" x14ac:dyDescent="0.3">
      <c r="A10" s="94"/>
      <c r="B10" s="99" t="s">
        <v>20</v>
      </c>
      <c r="C10" s="100"/>
      <c r="D10" s="100">
        <v>54641</v>
      </c>
      <c r="E10" s="100">
        <v>42263</v>
      </c>
      <c r="F10" s="100">
        <v>102613</v>
      </c>
      <c r="G10" s="100">
        <v>4001</v>
      </c>
      <c r="H10" s="103" t="s">
        <v>22</v>
      </c>
      <c r="I10" s="102" t="s">
        <v>22</v>
      </c>
    </row>
    <row r="11" spans="1:9" x14ac:dyDescent="0.3">
      <c r="A11" s="94"/>
      <c r="B11" s="99" t="s">
        <v>12</v>
      </c>
      <c r="C11" s="100"/>
      <c r="D11" s="100"/>
      <c r="E11" s="100"/>
      <c r="F11" s="100"/>
      <c r="G11" s="100"/>
      <c r="H11" s="107"/>
      <c r="I11" s="102"/>
    </row>
    <row r="12" spans="1:9" x14ac:dyDescent="0.3">
      <c r="A12" s="94"/>
      <c r="B12" s="99" t="s">
        <v>13</v>
      </c>
      <c r="C12" s="100"/>
      <c r="D12" s="100"/>
      <c r="E12" s="100"/>
      <c r="F12" s="100"/>
      <c r="G12" s="100"/>
      <c r="H12" s="107"/>
      <c r="I12" s="102"/>
    </row>
    <row r="13" spans="1:9" x14ac:dyDescent="0.3">
      <c r="A13" s="94"/>
      <c r="B13" s="99" t="s">
        <v>10</v>
      </c>
      <c r="C13" s="100"/>
      <c r="D13" s="100">
        <v>82475</v>
      </c>
      <c r="E13" s="100">
        <v>138513</v>
      </c>
      <c r="F13" s="100">
        <f>69410+10830</f>
        <v>80240</v>
      </c>
      <c r="G13" s="100">
        <v>5665</v>
      </c>
      <c r="H13" s="107">
        <v>22720</v>
      </c>
      <c r="I13" s="102">
        <v>0</v>
      </c>
    </row>
    <row r="14" spans="1:9" x14ac:dyDescent="0.3">
      <c r="A14" s="94" t="s">
        <v>24</v>
      </c>
      <c r="B14" s="95"/>
      <c r="C14" s="96">
        <f t="shared" ref="C14:I14" si="1">C3-C8</f>
        <v>0</v>
      </c>
      <c r="D14" s="96">
        <f>D3-D6-D8</f>
        <v>22596</v>
      </c>
      <c r="E14" s="96">
        <f>E3-E6-E8</f>
        <v>-3929</v>
      </c>
      <c r="F14" s="96">
        <f t="shared" si="1"/>
        <v>16640</v>
      </c>
      <c r="G14" s="96">
        <f t="shared" si="1"/>
        <v>1710</v>
      </c>
      <c r="H14" s="96">
        <f t="shared" si="1"/>
        <v>23775</v>
      </c>
      <c r="I14" s="106">
        <f t="shared" si="1"/>
        <v>49274</v>
      </c>
    </row>
    <row r="15" spans="1:9" x14ac:dyDescent="0.3">
      <c r="A15" s="108"/>
      <c r="B15" s="109" t="s">
        <v>16</v>
      </c>
      <c r="C15" s="110" t="e">
        <f t="shared" ref="C15:I15" si="2">C14/C4</f>
        <v>#DIV/0!</v>
      </c>
      <c r="D15" s="110">
        <f t="shared" si="2"/>
        <v>6.7821232403877899E-2</v>
      </c>
      <c r="E15" s="110">
        <f t="shared" si="2"/>
        <v>-7.2386335582241123E-3</v>
      </c>
      <c r="F15" s="110">
        <f t="shared" si="2"/>
        <v>6.0070684134335958E-2</v>
      </c>
      <c r="G15" s="110">
        <f t="shared" si="2"/>
        <v>8.9730807577268201E-2</v>
      </c>
      <c r="H15" s="110">
        <f t="shared" si="2"/>
        <v>0.18235018906128961</v>
      </c>
      <c r="I15" s="111">
        <f t="shared" si="2"/>
        <v>0.17305942969131402</v>
      </c>
    </row>
    <row r="16" spans="1:9" x14ac:dyDescent="0.3">
      <c r="A16" s="94" t="s">
        <v>30</v>
      </c>
      <c r="B16" s="95"/>
      <c r="C16" s="96"/>
      <c r="D16" s="96">
        <v>12940</v>
      </c>
      <c r="E16" s="96">
        <v>12677</v>
      </c>
      <c r="F16" s="96">
        <v>12895</v>
      </c>
      <c r="G16" s="96">
        <v>1033</v>
      </c>
      <c r="H16" s="97">
        <v>20492</v>
      </c>
      <c r="I16" s="98">
        <v>30468</v>
      </c>
    </row>
    <row r="17" spans="1:9" x14ac:dyDescent="0.3">
      <c r="A17" s="94" t="s">
        <v>15</v>
      </c>
      <c r="B17" s="95"/>
      <c r="C17" s="96"/>
      <c r="D17" s="96">
        <v>247871</v>
      </c>
      <c r="E17" s="112"/>
      <c r="F17" s="112"/>
      <c r="G17" s="113"/>
      <c r="H17" s="114"/>
      <c r="I17" s="115"/>
    </row>
    <row r="18" spans="1:9" x14ac:dyDescent="0.3">
      <c r="A18" s="116"/>
      <c r="B18" s="117" t="s">
        <v>16</v>
      </c>
      <c r="C18" s="118" t="e">
        <f>C17/C4</f>
        <v>#DIV/0!</v>
      </c>
      <c r="D18" s="118">
        <f>D17/D4</f>
        <v>0.74397754899900947</v>
      </c>
      <c r="E18" s="118">
        <f>E17/E3</f>
        <v>0</v>
      </c>
      <c r="F18" s="118">
        <f>F17/F3</f>
        <v>0</v>
      </c>
      <c r="G18" s="118">
        <f>G17/G3</f>
        <v>0</v>
      </c>
      <c r="H18" s="118">
        <f>H17/H3</f>
        <v>0</v>
      </c>
      <c r="I18" s="119">
        <f>I17/I3</f>
        <v>0</v>
      </c>
    </row>
    <row r="19" spans="1:9" x14ac:dyDescent="0.3">
      <c r="A19" s="94" t="s">
        <v>17</v>
      </c>
      <c r="B19" s="95"/>
      <c r="C19" s="96"/>
      <c r="D19" s="96">
        <v>3740000</v>
      </c>
      <c r="E19" s="105"/>
      <c r="F19" s="105"/>
      <c r="G19" s="105">
        <v>110200</v>
      </c>
      <c r="H19" s="104"/>
      <c r="I19" s="98"/>
    </row>
    <row r="20" spans="1:9" x14ac:dyDescent="0.3">
      <c r="A20" s="120" t="s">
        <v>18</v>
      </c>
      <c r="B20" s="121"/>
      <c r="C20" s="122"/>
      <c r="D20" s="122">
        <v>1.5</v>
      </c>
      <c r="E20" s="122" t="s">
        <v>21</v>
      </c>
      <c r="F20" s="122">
        <v>1.7</v>
      </c>
      <c r="G20" s="122"/>
      <c r="H20" s="123"/>
      <c r="I20" s="124"/>
    </row>
  </sheetData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1"/>
  <sheetViews>
    <sheetView workbookViewId="0">
      <selection activeCell="K6" sqref="K6"/>
    </sheetView>
  </sheetViews>
  <sheetFormatPr defaultColWidth="8.77734375" defaultRowHeight="14.4" x14ac:dyDescent="0.3"/>
  <cols>
    <col min="1" max="1" width="22.109375" customWidth="1"/>
    <col min="2" max="2" width="25.44140625" customWidth="1"/>
    <col min="3" max="4" width="13.44140625" customWidth="1"/>
    <col min="5" max="5" width="13.33203125" customWidth="1"/>
    <col min="6" max="6" width="13.44140625" customWidth="1"/>
    <col min="7" max="7" width="14" customWidth="1"/>
    <col min="8" max="8" width="14.77734375" customWidth="1"/>
    <col min="9" max="9" width="21.6640625" customWidth="1"/>
  </cols>
  <sheetData>
    <row r="1" spans="1:9" ht="19.8" x14ac:dyDescent="0.4">
      <c r="A1" s="87" t="s">
        <v>35</v>
      </c>
      <c r="C1" s="1"/>
      <c r="D1" s="1"/>
      <c r="E1" s="1"/>
      <c r="F1" s="1"/>
      <c r="G1" s="1"/>
      <c r="I1" s="1"/>
    </row>
    <row r="2" spans="1:9" x14ac:dyDescent="0.3">
      <c r="A2" s="1" t="s">
        <v>29</v>
      </c>
      <c r="B2" s="1" t="s">
        <v>28</v>
      </c>
      <c r="C2" s="1" t="s">
        <v>0</v>
      </c>
      <c r="D2" s="27" t="s">
        <v>1</v>
      </c>
      <c r="E2" s="27" t="s">
        <v>2</v>
      </c>
      <c r="F2" s="27" t="s">
        <v>8</v>
      </c>
      <c r="G2" s="27" t="s">
        <v>3</v>
      </c>
      <c r="H2" s="27" t="s">
        <v>4</v>
      </c>
      <c r="I2" s="27" t="s">
        <v>9</v>
      </c>
    </row>
    <row r="3" spans="1:9" x14ac:dyDescent="0.3">
      <c r="A3" s="4" t="s">
        <v>14</v>
      </c>
      <c r="B3" s="4"/>
      <c r="C3" s="36">
        <f t="shared" ref="C3:H3" si="0">SUM(C4:C5)</f>
        <v>0</v>
      </c>
      <c r="D3" s="36">
        <f>SUM(D4:D6)</f>
        <v>409801</v>
      </c>
      <c r="E3" s="36">
        <f>SUM(E4:E6)</f>
        <v>592209</v>
      </c>
      <c r="F3" s="36">
        <f t="shared" si="0"/>
        <v>343055</v>
      </c>
      <c r="G3" s="36">
        <f t="shared" si="0"/>
        <v>22685</v>
      </c>
      <c r="H3" s="36">
        <f t="shared" si="0"/>
        <v>118028</v>
      </c>
      <c r="I3" s="30">
        <v>285981</v>
      </c>
    </row>
    <row r="4" spans="1:9" x14ac:dyDescent="0.3">
      <c r="A4" s="1"/>
      <c r="B4" s="3" t="s">
        <v>5</v>
      </c>
      <c r="C4" s="38"/>
      <c r="D4" s="38">
        <v>314735</v>
      </c>
      <c r="E4" s="38">
        <v>530841</v>
      </c>
      <c r="F4" s="38">
        <v>252333</v>
      </c>
      <c r="G4" s="38">
        <v>18551</v>
      </c>
      <c r="H4" s="39">
        <v>118028</v>
      </c>
      <c r="I4" s="40">
        <v>285981</v>
      </c>
    </row>
    <row r="5" spans="1:9" x14ac:dyDescent="0.3">
      <c r="A5" s="1"/>
      <c r="B5" s="3" t="s">
        <v>6</v>
      </c>
      <c r="C5" s="38"/>
      <c r="D5" s="38">
        <v>45914</v>
      </c>
      <c r="E5" s="38">
        <v>43067</v>
      </c>
      <c r="F5" s="38">
        <v>90722</v>
      </c>
      <c r="G5" s="38">
        <v>4134</v>
      </c>
      <c r="H5" s="40" t="s">
        <v>22</v>
      </c>
      <c r="I5" s="40" t="s">
        <v>22</v>
      </c>
    </row>
    <row r="6" spans="1:9" x14ac:dyDescent="0.3">
      <c r="A6" s="4"/>
      <c r="B6" s="49" t="s">
        <v>32</v>
      </c>
      <c r="C6" s="36"/>
      <c r="D6" s="38">
        <v>49152</v>
      </c>
      <c r="E6" s="36">
        <v>18301</v>
      </c>
      <c r="F6" s="36"/>
      <c r="G6" s="38"/>
      <c r="H6" s="13"/>
      <c r="I6" s="30"/>
    </row>
    <row r="7" spans="1:9" x14ac:dyDescent="0.3">
      <c r="A7" s="4" t="s">
        <v>19</v>
      </c>
      <c r="B7" s="4"/>
      <c r="C7" s="30"/>
      <c r="D7" s="30">
        <v>314735</v>
      </c>
      <c r="E7" s="30">
        <v>530841</v>
      </c>
      <c r="F7" s="30">
        <v>252333</v>
      </c>
      <c r="G7" s="30">
        <v>18551</v>
      </c>
      <c r="H7" s="13">
        <v>118028</v>
      </c>
      <c r="I7" s="30">
        <v>1129530</v>
      </c>
    </row>
    <row r="8" spans="1:9" x14ac:dyDescent="0.3">
      <c r="A8" s="4" t="s">
        <v>11</v>
      </c>
      <c r="B8" s="4"/>
      <c r="C8" s="36">
        <f t="shared" ref="C8:H8" si="1">SUM(C9:C13)</f>
        <v>0</v>
      </c>
      <c r="D8" s="36">
        <f t="shared" si="1"/>
        <v>348199</v>
      </c>
      <c r="E8" s="36">
        <f t="shared" si="1"/>
        <v>527786</v>
      </c>
      <c r="F8" s="36">
        <f t="shared" si="1"/>
        <v>331323</v>
      </c>
      <c r="G8" s="36">
        <f t="shared" si="1"/>
        <v>21101</v>
      </c>
      <c r="H8" s="36">
        <f t="shared" si="1"/>
        <v>97391</v>
      </c>
      <c r="I8" s="30">
        <v>242241</v>
      </c>
    </row>
    <row r="9" spans="1:9" x14ac:dyDescent="0.3">
      <c r="A9" s="1"/>
      <c r="B9" s="3" t="s">
        <v>27</v>
      </c>
      <c r="C9" s="38"/>
      <c r="D9" s="38">
        <v>222174</v>
      </c>
      <c r="E9" s="38">
        <v>376460</v>
      </c>
      <c r="F9" s="38">
        <v>162284</v>
      </c>
      <c r="G9" s="38">
        <v>11598</v>
      </c>
      <c r="H9" s="11">
        <v>76137</v>
      </c>
      <c r="I9" s="40">
        <v>0</v>
      </c>
    </row>
    <row r="10" spans="1:9" x14ac:dyDescent="0.3">
      <c r="A10" s="1"/>
      <c r="B10" s="3" t="s">
        <v>20</v>
      </c>
      <c r="C10" s="38"/>
      <c r="D10" s="38">
        <v>45914</v>
      </c>
      <c r="E10" s="38">
        <v>43067</v>
      </c>
      <c r="F10" s="38">
        <v>90722</v>
      </c>
      <c r="G10" s="38">
        <v>4134</v>
      </c>
      <c r="H10" s="40" t="s">
        <v>22</v>
      </c>
      <c r="I10" s="40" t="s">
        <v>22</v>
      </c>
    </row>
    <row r="11" spans="1:9" x14ac:dyDescent="0.3">
      <c r="A11" s="1"/>
      <c r="B11" s="3" t="s">
        <v>12</v>
      </c>
      <c r="C11" s="38"/>
      <c r="D11" s="38"/>
      <c r="E11" s="38"/>
      <c r="F11" s="38"/>
      <c r="G11" s="38"/>
      <c r="H11" s="11"/>
      <c r="I11" s="40"/>
    </row>
    <row r="12" spans="1:9" x14ac:dyDescent="0.3">
      <c r="A12" s="1"/>
      <c r="B12" s="3" t="s">
        <v>13</v>
      </c>
      <c r="C12" s="38"/>
      <c r="D12" s="38"/>
      <c r="E12" s="38"/>
      <c r="F12" s="38"/>
      <c r="G12" s="38"/>
      <c r="H12" s="11"/>
      <c r="I12" s="40"/>
    </row>
    <row r="13" spans="1:9" x14ac:dyDescent="0.3">
      <c r="A13" s="1"/>
      <c r="B13" s="3" t="s">
        <v>10</v>
      </c>
      <c r="C13" s="38"/>
      <c r="D13" s="38">
        <f>60989+14281+2141+2700</f>
        <v>80111</v>
      </c>
      <c r="E13" s="38">
        <v>108259</v>
      </c>
      <c r="F13" s="38">
        <f>67515+10802</f>
        <v>78317</v>
      </c>
      <c r="G13" s="38">
        <f>2614+2602+153</f>
        <v>5369</v>
      </c>
      <c r="H13" s="11">
        <v>21254</v>
      </c>
      <c r="I13" s="40"/>
    </row>
    <row r="14" spans="1:9" x14ac:dyDescent="0.3">
      <c r="A14" s="4" t="s">
        <v>24</v>
      </c>
      <c r="B14" s="4"/>
      <c r="C14" s="36"/>
      <c r="D14" s="36">
        <f>D3-D6-D8</f>
        <v>12450</v>
      </c>
      <c r="E14" s="36">
        <f>E3-E6-E8</f>
        <v>46122</v>
      </c>
      <c r="F14" s="36">
        <f>F3-F8</f>
        <v>11732</v>
      </c>
      <c r="G14" s="36">
        <f>G3-G8</f>
        <v>1584</v>
      </c>
      <c r="H14" s="36">
        <f>H3-H8</f>
        <v>20637</v>
      </c>
      <c r="I14" s="36">
        <f>I3-I8</f>
        <v>43740</v>
      </c>
    </row>
    <row r="15" spans="1:9" x14ac:dyDescent="0.3">
      <c r="A15" s="18"/>
      <c r="B15" s="18" t="s">
        <v>16</v>
      </c>
      <c r="C15" s="41" t="e">
        <f t="shared" ref="C15:I15" si="2">C14/C4</f>
        <v>#DIV/0!</v>
      </c>
      <c r="D15" s="41">
        <f t="shared" si="2"/>
        <v>3.9557087708707327E-2</v>
      </c>
      <c r="E15" s="41">
        <f t="shared" si="2"/>
        <v>8.6884773406726304E-2</v>
      </c>
      <c r="F15" s="41">
        <f t="shared" si="2"/>
        <v>4.649411690107913E-2</v>
      </c>
      <c r="G15" s="41">
        <f t="shared" si="2"/>
        <v>8.5386232548110619E-2</v>
      </c>
      <c r="H15" s="41">
        <f t="shared" si="2"/>
        <v>0.17484834107161012</v>
      </c>
      <c r="I15" s="41">
        <f t="shared" si="2"/>
        <v>0.15294722376661388</v>
      </c>
    </row>
    <row r="16" spans="1:9" x14ac:dyDescent="0.3">
      <c r="A16" s="4" t="s">
        <v>30</v>
      </c>
      <c r="B16" s="4"/>
      <c r="C16" s="36"/>
      <c r="D16" s="36">
        <v>9561</v>
      </c>
      <c r="E16" s="36">
        <v>35692</v>
      </c>
      <c r="F16" s="36">
        <v>8971</v>
      </c>
      <c r="G16" s="36">
        <v>994</v>
      </c>
      <c r="H16" s="10">
        <v>20988</v>
      </c>
      <c r="I16" s="30">
        <v>26439</v>
      </c>
    </row>
    <row r="17" spans="1:9" x14ac:dyDescent="0.3">
      <c r="A17" s="4" t="s">
        <v>15</v>
      </c>
      <c r="B17" s="4"/>
      <c r="C17" s="36"/>
      <c r="D17" s="36">
        <v>235409</v>
      </c>
      <c r="E17" s="42"/>
      <c r="F17" s="42"/>
      <c r="G17" s="43"/>
      <c r="H17" s="12"/>
      <c r="I17" s="42"/>
    </row>
    <row r="18" spans="1:9" x14ac:dyDescent="0.3">
      <c r="A18" s="51"/>
      <c r="B18" s="14" t="s">
        <v>16</v>
      </c>
      <c r="C18" s="31" t="e">
        <f>C17/C4</f>
        <v>#DIV/0!</v>
      </c>
      <c r="D18" s="31">
        <f>D17/D4</f>
        <v>0.74795939441117132</v>
      </c>
      <c r="E18" s="31">
        <f>E17/E3</f>
        <v>0</v>
      </c>
      <c r="F18" s="31"/>
      <c r="G18" s="31">
        <f>G17/G3</f>
        <v>0</v>
      </c>
      <c r="H18" s="31">
        <f>H17/H3</f>
        <v>0</v>
      </c>
      <c r="I18" s="31">
        <f>I17/I3</f>
        <v>0</v>
      </c>
    </row>
    <row r="19" spans="1:9" x14ac:dyDescent="0.3">
      <c r="A19" s="4" t="s">
        <v>17</v>
      </c>
      <c r="B19" s="4"/>
      <c r="C19" s="36"/>
      <c r="D19" s="36">
        <v>3610000</v>
      </c>
      <c r="E19" s="30"/>
      <c r="F19" s="30">
        <v>252000</v>
      </c>
      <c r="G19" s="30">
        <v>125800</v>
      </c>
      <c r="H19" s="13"/>
      <c r="I19" s="30">
        <v>213900</v>
      </c>
    </row>
    <row r="20" spans="1:9" x14ac:dyDescent="0.3">
      <c r="A20" s="15" t="s">
        <v>18</v>
      </c>
      <c r="B20" s="15"/>
      <c r="C20" s="35"/>
      <c r="D20" s="35">
        <v>1.77</v>
      </c>
      <c r="E20" s="35"/>
      <c r="F20" s="35">
        <v>1.5</v>
      </c>
      <c r="G20" s="35"/>
      <c r="H20" s="16"/>
      <c r="I20" s="35"/>
    </row>
    <row r="21" spans="1:9" x14ac:dyDescent="0.3">
      <c r="A21" s="4"/>
      <c r="B21" s="4"/>
      <c r="C21" s="88"/>
      <c r="D21" s="89"/>
      <c r="F21" s="85"/>
      <c r="H21" s="13"/>
      <c r="I21" s="3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62CD-359F-4936-A4FD-7186969DE1D1}">
  <dimension ref="A1:F16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93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3568000</v>
      </c>
      <c r="C3" s="190">
        <v>1902000</v>
      </c>
      <c r="D3" s="190">
        <v>1336300</v>
      </c>
      <c r="E3" s="190">
        <v>330900</v>
      </c>
      <c r="F3" s="36">
        <f>SUM(TableQ420193536373840414243[[#This Row],[IQVIA (Quintiles)]:[Medpace]])</f>
        <v>7137200</v>
      </c>
    </row>
    <row r="4" spans="1:6" x14ac:dyDescent="0.3">
      <c r="A4" s="4" t="s">
        <v>17</v>
      </c>
      <c r="B4" s="190">
        <v>25000000</v>
      </c>
      <c r="C4" s="190">
        <v>19600000</v>
      </c>
      <c r="D4" s="190">
        <v>11634100</v>
      </c>
      <c r="E4" s="190">
        <v>2100000</v>
      </c>
      <c r="F4" s="36">
        <f>SUM(TableQ420193536373840414243[[#This Row],[IQVIA (Quintiles)]:[Medpace]])</f>
        <v>58334100</v>
      </c>
    </row>
    <row r="5" spans="1:6" x14ac:dyDescent="0.3">
      <c r="A5" s="15" t="s">
        <v>18</v>
      </c>
      <c r="B5" s="185">
        <v>1.31</v>
      </c>
      <c r="C5" s="181">
        <v>1.28</v>
      </c>
      <c r="D5" s="151">
        <v>1.3</v>
      </c>
      <c r="E5" s="151">
        <v>1.28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BA9E-BC03-46AB-A6C4-CE4B43935222}">
  <dimension ref="A1:F16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92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3636000</v>
      </c>
      <c r="C3" s="190">
        <v>1885100</v>
      </c>
      <c r="D3" s="190">
        <v>1373200</v>
      </c>
      <c r="E3" s="190">
        <v>308600</v>
      </c>
      <c r="F3" s="36">
        <f>SUM(TableQ4201935363738404142[[#This Row],[IQVIA (Quintiles)]:[Medpace]])</f>
        <v>7202900</v>
      </c>
    </row>
    <row r="4" spans="1:6" x14ac:dyDescent="0.3">
      <c r="A4" s="4" t="s">
        <v>17</v>
      </c>
      <c r="B4" s="190">
        <v>24800000</v>
      </c>
      <c r="C4" s="190">
        <v>19100000</v>
      </c>
      <c r="D4" s="190">
        <v>11427600</v>
      </c>
      <c r="E4" s="190">
        <v>1997100</v>
      </c>
      <c r="F4" s="36">
        <f>SUM(TableQ4201935363738404142[[#This Row],[IQVIA (Quintiles)]:[Medpace]])</f>
        <v>57324700</v>
      </c>
    </row>
    <row r="5" spans="1:6" x14ac:dyDescent="0.3">
      <c r="A5" s="15" t="s">
        <v>18</v>
      </c>
      <c r="B5" s="185">
        <v>1.34</v>
      </c>
      <c r="C5" s="181">
        <v>1.26</v>
      </c>
      <c r="D5" s="151">
        <v>1.29</v>
      </c>
      <c r="E5" s="151">
        <v>1.49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7B5E-A487-4545-8BE6-54BB8029F063}">
  <dimension ref="A1:F11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91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3390000</v>
      </c>
      <c r="C3" s="190">
        <v>1870400</v>
      </c>
      <c r="D3" s="190">
        <v>1348200</v>
      </c>
      <c r="E3" s="190">
        <v>295600</v>
      </c>
      <c r="F3" s="36">
        <f>SUM(TableQ42019353637384041[[#This Row],[IQVIA (Quintiles)]:[Medpace]])</f>
        <v>6904200</v>
      </c>
    </row>
    <row r="4" spans="1:6" x14ac:dyDescent="0.3">
      <c r="A4" s="4" t="s">
        <v>17</v>
      </c>
      <c r="B4" s="190">
        <v>24400000</v>
      </c>
      <c r="C4" s="190">
        <v>18600000</v>
      </c>
      <c r="D4" s="190">
        <v>12014200</v>
      </c>
      <c r="E4" s="190">
        <v>1800000</v>
      </c>
      <c r="F4" s="36">
        <f>SUM(TableQ42019353637384041[[#This Row],[IQVIA (Quintiles)]:[Medpace]])</f>
        <v>56814200</v>
      </c>
    </row>
    <row r="5" spans="1:6" x14ac:dyDescent="0.3">
      <c r="A5" s="15" t="s">
        <v>18</v>
      </c>
      <c r="B5" s="185">
        <v>1.38</v>
      </c>
      <c r="C5" s="181">
        <v>1.27</v>
      </c>
      <c r="D5" s="151">
        <v>1.34</v>
      </c>
      <c r="E5" s="151">
        <v>1.38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09E8-5B4D-BF45-B93F-D4B91A857A01}">
  <dimension ref="A1:G14"/>
  <sheetViews>
    <sheetView workbookViewId="0">
      <selection activeCell="A23" sqref="A23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4" width="15.7773437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86</v>
      </c>
    </row>
    <row r="2" spans="1:7" x14ac:dyDescent="0.3">
      <c r="A2" s="1" t="s">
        <v>29</v>
      </c>
      <c r="B2" t="s">
        <v>68</v>
      </c>
      <c r="C2" t="s">
        <v>8</v>
      </c>
      <c r="D2" t="s">
        <v>88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2">
        <f t="shared" ref="B3" si="0">0.647*3438000</f>
        <v>2224386</v>
      </c>
      <c r="C3" s="2">
        <v>871155</v>
      </c>
      <c r="D3" s="2">
        <v>285600</v>
      </c>
      <c r="E3" s="2">
        <v>1283000</v>
      </c>
      <c r="F3" s="2">
        <v>278293</v>
      </c>
      <c r="G3" s="36">
        <f>SUM(TableQ420193536373840[[#This Row],[IQVIA (Quintiles)]:[Medpace]])</f>
        <v>4942434</v>
      </c>
    </row>
    <row r="4" spans="1:7" x14ac:dyDescent="0.3">
      <c r="A4" s="4" t="s">
        <v>17</v>
      </c>
      <c r="B4" s="2">
        <v>23900000</v>
      </c>
      <c r="C4" s="2">
        <v>10200000</v>
      </c>
      <c r="D4" s="184">
        <v>5500000</v>
      </c>
      <c r="E4" s="2">
        <v>11685300</v>
      </c>
      <c r="F4" s="2">
        <v>1700000</v>
      </c>
      <c r="G4" s="36">
        <f>SUM(TableQ420193536373840[[#This Row],[IQVIA (Quintiles)]:[Medpace]])</f>
        <v>52985300</v>
      </c>
    </row>
    <row r="5" spans="1:7" x14ac:dyDescent="0.3">
      <c r="A5" s="15" t="s">
        <v>18</v>
      </c>
      <c r="B5" s="185">
        <v>1.45</v>
      </c>
      <c r="C5" s="181">
        <v>1.21</v>
      </c>
      <c r="D5" s="151">
        <v>1.24</v>
      </c>
      <c r="E5" s="151">
        <v>0.94</v>
      </c>
      <c r="F5" s="151">
        <v>1.39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89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78D7-36F0-4EF6-A078-E79E1503BFFE}">
  <dimension ref="A1:G14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87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2205623</v>
      </c>
      <c r="C3" s="36">
        <v>1100000</v>
      </c>
      <c r="D3" s="146">
        <v>797200</v>
      </c>
      <c r="E3" s="36">
        <v>1208700</v>
      </c>
      <c r="F3" s="36">
        <v>260000</v>
      </c>
      <c r="G3" s="36">
        <f>SUM(TableQ4201935363738[[#This Row],[IQVIA (Quintiles)]:[Medpace]])</f>
        <v>5571523</v>
      </c>
    </row>
    <row r="4" spans="1:7" x14ac:dyDescent="0.3">
      <c r="A4" s="4" t="s">
        <v>17</v>
      </c>
      <c r="B4" s="13">
        <v>23200000</v>
      </c>
      <c r="C4" s="30">
        <v>10000000</v>
      </c>
      <c r="D4" s="184">
        <v>5500000</v>
      </c>
      <c r="E4" s="146">
        <v>10951100</v>
      </c>
      <c r="F4" s="2">
        <v>1600000</v>
      </c>
      <c r="G4" s="36">
        <f>SUM(TableQ4201935363738[[#This Row],[IQVIA (Quintiles)]:[Medpace]])</f>
        <v>51251100</v>
      </c>
    </row>
    <row r="5" spans="1:7" x14ac:dyDescent="0.3">
      <c r="A5" s="15" t="s">
        <v>18</v>
      </c>
      <c r="B5" s="185">
        <v>1.52</v>
      </c>
      <c r="C5" s="181">
        <v>1.28</v>
      </c>
      <c r="D5" s="186">
        <v>1.24</v>
      </c>
      <c r="E5" s="151">
        <v>1.55</v>
      </c>
      <c r="F5" s="151">
        <v>1.37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</vt:i4>
      </vt:variant>
    </vt:vector>
  </HeadingPairs>
  <TitlesOfParts>
    <vt:vector size="47" baseType="lpstr">
      <vt:lpstr>2022 - 4th Quarter</vt:lpstr>
      <vt:lpstr>2022 - 3rd Quarter</vt:lpstr>
      <vt:lpstr>2022 - 2nd Quarter</vt:lpstr>
      <vt:lpstr>Sheet2</vt:lpstr>
      <vt:lpstr>2022 - 1st Quarter</vt:lpstr>
      <vt:lpstr>2021 - 4th Quarter</vt:lpstr>
      <vt:lpstr>2021 - 3rd Quarter</vt:lpstr>
      <vt:lpstr>2021 - 2nd quarter</vt:lpstr>
      <vt:lpstr>2021 - 1st quarter</vt:lpstr>
      <vt:lpstr>2020 - 4th quarter</vt:lpstr>
      <vt:lpstr>2020 - 3rd quarter</vt:lpstr>
      <vt:lpstr>2020 - 2nd quarter</vt:lpstr>
      <vt:lpstr>2020 - 1st quarter</vt:lpstr>
      <vt:lpstr>2019 - 4th quarter</vt:lpstr>
      <vt:lpstr>2019 - 3rd quarter</vt:lpstr>
      <vt:lpstr>2019 - 2nd quarter</vt:lpstr>
      <vt:lpstr>2019 - 1st quarter</vt:lpstr>
      <vt:lpstr>2018 - 4th quarter</vt:lpstr>
      <vt:lpstr>2018 - 3rd quarter</vt:lpstr>
      <vt:lpstr>2018 - 2nd quarter</vt:lpstr>
      <vt:lpstr>2018 - 1st quarter </vt:lpstr>
      <vt:lpstr>2017 - 4th quarter </vt:lpstr>
      <vt:lpstr>2017 - 3rd quarter</vt:lpstr>
      <vt:lpstr>2017 - 2nd quarter</vt:lpstr>
      <vt:lpstr>2017 - 1st quarter</vt:lpstr>
      <vt:lpstr>2016 - 4th quarter</vt:lpstr>
      <vt:lpstr>2016 - 3rd quarter</vt:lpstr>
      <vt:lpstr>2016 - 2nd quarter</vt:lpstr>
      <vt:lpstr>2016 - 1st quarter </vt:lpstr>
      <vt:lpstr>2015 - 4th quarter  </vt:lpstr>
      <vt:lpstr>2015 - 3rd quarter </vt:lpstr>
      <vt:lpstr>2015 - 2nd quarter </vt:lpstr>
      <vt:lpstr>2015 - 1st quarter</vt:lpstr>
      <vt:lpstr>2014 - 4th quarter</vt:lpstr>
      <vt:lpstr>2014 - 3rd quarter</vt:lpstr>
      <vt:lpstr>2014 -2nd quarter</vt:lpstr>
      <vt:lpstr>2014 - 1st quarter</vt:lpstr>
      <vt:lpstr>2013 - 4th quarter</vt:lpstr>
      <vt:lpstr>2013 - 3rd quarter</vt:lpstr>
      <vt:lpstr>2013 - 2nd quarter</vt:lpstr>
      <vt:lpstr>2013 - 1st Q</vt:lpstr>
      <vt:lpstr>2012 - Year</vt:lpstr>
      <vt:lpstr>2012 - 4th Quarter</vt:lpstr>
      <vt:lpstr>2012 - 3rd Q</vt:lpstr>
      <vt:lpstr>2012 -2nd Q</vt:lpstr>
      <vt:lpstr>2012 - 1st Q</vt:lpstr>
      <vt:lpstr>'2013 - 3rd quarter'!Print_Area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Tim Eggert</cp:lastModifiedBy>
  <cp:lastPrinted>2013-12-06T17:43:26Z</cp:lastPrinted>
  <dcterms:created xsi:type="dcterms:W3CDTF">2013-06-18T17:57:32Z</dcterms:created>
  <dcterms:modified xsi:type="dcterms:W3CDTF">2023-03-23T15:48:19Z</dcterms:modified>
</cp:coreProperties>
</file>